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autoCompressPictures="0"/>
  <mc:AlternateContent xmlns:mc="http://schemas.openxmlformats.org/markup-compatibility/2006">
    <mc:Choice Requires="x15">
      <x15ac:absPath xmlns:x15ac="http://schemas.microsoft.com/office/spreadsheetml/2010/11/ac" url="C:\Users\luefkensm\Documents\Twiplomacy\Facebook\2018\Launch Materiel\"/>
    </mc:Choice>
  </mc:AlternateContent>
  <bookViews>
    <workbookView xWindow="0" yWindow="0" windowWidth="19200" windowHeight="4230" tabRatio="500"/>
  </bookViews>
  <sheets>
    <sheet name="Twiplomacy Stats" sheetId="3" r:id="rId1"/>
  </sheets>
  <definedNames>
    <definedName name="_xlnm._FilterDatabase" localSheetId="0" hidden="1">'Twiplomacy Stats'!$A$2:$CF$2</definedName>
  </definedNames>
  <calcPr calcId="171027"/>
</workbook>
</file>

<file path=xl/calcChain.xml><?xml version="1.0" encoding="utf-8"?>
<calcChain xmlns="http://schemas.openxmlformats.org/spreadsheetml/2006/main">
  <c r="AP424" i="3" l="1"/>
  <c r="AP148" i="3"/>
  <c r="AP64" i="3"/>
  <c r="AP420" i="3"/>
  <c r="AP345" i="3"/>
  <c r="AP258" i="3"/>
  <c r="AP120" i="3"/>
  <c r="AP101" i="3"/>
  <c r="AP202" i="3"/>
  <c r="AP117" i="3"/>
  <c r="AP453" i="3"/>
  <c r="AP248" i="3"/>
  <c r="AP598" i="3"/>
  <c r="AP583" i="3"/>
  <c r="AP467" i="3"/>
  <c r="AP62" i="3"/>
  <c r="AP498" i="3"/>
  <c r="AP476" i="3"/>
  <c r="AP468" i="3"/>
  <c r="AP425" i="3"/>
  <c r="AP293" i="3"/>
  <c r="AP130" i="3"/>
  <c r="AP391" i="3"/>
  <c r="AP16" i="3"/>
  <c r="AP592" i="3"/>
  <c r="AP562" i="3"/>
  <c r="AP605" i="3"/>
  <c r="AP360" i="3"/>
  <c r="AP410" i="3"/>
  <c r="AP448" i="3"/>
  <c r="AP395" i="3"/>
  <c r="AP585" i="3"/>
  <c r="AP589" i="3"/>
  <c r="AP588" i="3"/>
  <c r="AP584" i="3"/>
  <c r="AP586" i="3"/>
  <c r="AP587" i="3"/>
  <c r="AP418" i="3"/>
  <c r="AP343" i="3"/>
  <c r="AP350" i="3"/>
  <c r="AP369" i="3"/>
  <c r="AP30" i="3"/>
  <c r="AP29" i="3"/>
  <c r="AP500" i="3"/>
  <c r="AP501" i="3"/>
  <c r="AP256" i="3"/>
  <c r="AP505" i="3"/>
  <c r="AP262" i="3"/>
  <c r="AP157" i="3"/>
  <c r="AP355" i="3"/>
  <c r="AP315" i="3"/>
  <c r="AP141" i="3"/>
  <c r="AP461" i="3"/>
  <c r="AP495" i="3"/>
  <c r="AP151" i="3"/>
  <c r="AP438" i="3"/>
  <c r="AP259" i="3"/>
  <c r="AP384" i="3"/>
  <c r="AP383" i="3"/>
  <c r="AP178" i="3"/>
  <c r="AP489" i="3"/>
  <c r="AP603" i="3"/>
  <c r="AP102" i="3"/>
  <c r="AP503" i="3"/>
  <c r="AP502" i="3"/>
  <c r="AP296" i="3"/>
  <c r="AP116" i="3"/>
  <c r="AP312" i="3"/>
  <c r="AP311" i="3"/>
  <c r="AP310" i="3"/>
  <c r="AP578" i="3"/>
  <c r="AP488" i="3"/>
  <c r="AP490" i="3"/>
  <c r="AP307" i="3"/>
  <c r="AP484" i="3"/>
  <c r="AP194" i="3"/>
  <c r="AP530" i="3"/>
  <c r="AP532" i="3"/>
  <c r="AP181" i="3"/>
  <c r="AP359" i="3"/>
  <c r="AP482" i="3"/>
  <c r="AP153" i="3"/>
  <c r="AP126" i="3"/>
  <c r="AP160" i="3"/>
  <c r="AP96" i="3"/>
  <c r="AP253" i="3"/>
  <c r="AP79" i="3"/>
  <c r="AP128" i="3"/>
  <c r="AP537" i="3"/>
  <c r="AP561" i="3"/>
  <c r="AP622" i="3"/>
  <c r="AP220" i="3"/>
  <c r="AP100" i="3"/>
  <c r="AP131" i="3"/>
  <c r="AP132" i="3"/>
  <c r="AP304" i="3"/>
  <c r="AP573" i="3"/>
  <c r="AP399" i="3"/>
  <c r="AP313" i="3"/>
  <c r="AP176" i="3"/>
  <c r="AP617" i="3"/>
  <c r="AP199" i="3"/>
  <c r="AP13" i="3"/>
  <c r="AP465" i="3"/>
  <c r="AP623" i="3"/>
  <c r="AP555" i="3"/>
  <c r="AP330" i="3"/>
  <c r="AP416" i="3"/>
  <c r="AP288" i="3"/>
  <c r="AP35" i="3"/>
  <c r="AP251" i="3"/>
  <c r="AP104" i="3"/>
  <c r="AP136" i="3"/>
  <c r="AP601" i="3"/>
  <c r="AP167" i="3"/>
  <c r="AP575" i="3"/>
  <c r="AP115" i="3"/>
  <c r="AP243" i="3"/>
  <c r="AP121" i="3"/>
  <c r="AP119" i="3"/>
  <c r="AP154" i="3"/>
  <c r="AP567" i="3"/>
  <c r="AP205" i="3"/>
  <c r="AP281" i="3"/>
  <c r="AP18" i="3"/>
  <c r="AP280" i="3"/>
  <c r="AP226" i="3"/>
  <c r="AP213" i="3"/>
  <c r="AP144" i="3"/>
  <c r="AP413" i="3"/>
  <c r="AP487" i="3"/>
  <c r="AP145" i="3"/>
  <c r="AP305" i="3"/>
  <c r="AP358" i="3"/>
  <c r="AP303" i="3"/>
  <c r="AP406" i="3"/>
  <c r="AP275" i="3"/>
  <c r="AP606" i="3"/>
  <c r="AP409" i="3"/>
  <c r="AP400" i="3"/>
  <c r="AP225" i="3"/>
  <c r="AP123" i="3"/>
  <c r="AP279" i="3"/>
  <c r="AP257" i="3"/>
  <c r="AP298" i="3"/>
  <c r="AP237" i="3"/>
  <c r="AP236" i="3"/>
  <c r="AP235" i="3"/>
  <c r="AP39" i="3"/>
  <c r="AP32" i="3"/>
  <c r="AP93" i="3"/>
  <c r="AP549" i="3"/>
  <c r="AP34" i="3"/>
  <c r="AP471" i="3"/>
  <c r="AP349" i="3"/>
  <c r="AP241" i="3"/>
  <c r="AP38" i="3"/>
  <c r="AP152" i="3"/>
  <c r="AP249" i="3"/>
  <c r="AP22" i="3"/>
  <c r="AP118" i="3"/>
  <c r="AP428" i="3"/>
  <c r="AP596" i="3"/>
  <c r="AP188" i="3"/>
  <c r="AP396" i="3"/>
  <c r="AP171" i="3"/>
  <c r="AP78" i="3"/>
  <c r="AP528" i="3"/>
  <c r="AP127" i="3"/>
  <c r="AP61" i="3"/>
  <c r="AP274" i="3"/>
  <c r="AP497" i="3"/>
  <c r="AP340" i="3"/>
  <c r="AP134" i="3"/>
  <c r="AP250" i="3"/>
  <c r="AP534" i="3"/>
  <c r="AP641" i="3"/>
  <c r="AP644" i="3"/>
  <c r="AP559" i="3"/>
  <c r="AP538" i="3"/>
  <c r="AP564" i="3"/>
  <c r="AP563" i="3"/>
  <c r="AP627" i="3"/>
  <c r="AP28" i="3"/>
  <c r="AP143" i="3"/>
  <c r="AP124" i="3"/>
  <c r="AP63" i="3"/>
  <c r="AP53" i="3"/>
  <c r="AP149" i="3"/>
  <c r="AP72" i="3"/>
  <c r="AP23" i="3"/>
  <c r="AP9" i="3"/>
  <c r="AP147" i="3"/>
  <c r="AP99" i="3"/>
  <c r="AP113" i="3"/>
  <c r="AP19" i="3"/>
  <c r="AP206" i="3"/>
  <c r="AP613" i="3"/>
  <c r="AP572" i="3"/>
  <c r="AP466" i="3"/>
  <c r="AP26" i="3"/>
  <c r="AP643" i="3"/>
  <c r="AP582" i="3"/>
  <c r="AP619" i="3"/>
  <c r="AP454" i="3"/>
  <c r="AP602" i="3"/>
  <c r="AP246" i="3"/>
  <c r="AP228" i="3"/>
  <c r="AP193" i="3"/>
  <c r="AP179" i="3"/>
  <c r="AP571" i="3"/>
  <c r="AP48" i="3"/>
  <c r="AP88" i="3"/>
  <c r="AP4" i="3"/>
  <c r="AP254" i="3"/>
  <c r="AP270" i="3"/>
  <c r="AP320" i="3"/>
  <c r="AP496" i="3"/>
  <c r="AP282" i="3"/>
  <c r="AP646" i="3"/>
  <c r="AP435" i="3"/>
  <c r="AP20" i="3"/>
  <c r="AP25" i="3"/>
  <c r="AP8" i="3"/>
  <c r="AP122" i="3"/>
  <c r="AP401" i="3"/>
  <c r="AP277" i="3"/>
  <c r="AP402" i="3"/>
  <c r="AP599" i="3"/>
  <c r="AP440" i="3"/>
  <c r="AP618" i="3"/>
  <c r="AP479" i="3"/>
  <c r="AP40" i="3"/>
  <c r="AP577" i="3"/>
  <c r="AP231" i="3"/>
  <c r="AP388" i="3"/>
  <c r="AP155" i="3"/>
  <c r="AP579" i="3"/>
  <c r="AP636" i="3"/>
  <c r="AP511" i="3"/>
  <c r="AP515" i="3"/>
  <c r="AP14" i="3"/>
  <c r="AP47" i="3"/>
  <c r="AP107" i="3"/>
  <c r="AP367" i="3"/>
  <c r="AP347" i="3"/>
  <c r="AP649" i="3"/>
  <c r="AP214" i="3"/>
  <c r="AP426" i="3"/>
  <c r="AP192" i="3"/>
  <c r="AP110" i="3"/>
  <c r="AP57" i="3"/>
  <c r="AP245" i="3"/>
  <c r="AP351" i="3"/>
  <c r="AP473" i="3"/>
  <c r="AP77" i="3"/>
  <c r="AP263" i="3"/>
  <c r="AP114" i="3"/>
  <c r="AP642" i="3"/>
  <c r="AP36" i="3"/>
  <c r="AP635" i="3"/>
  <c r="AP294" i="3"/>
  <c r="AP316" i="3"/>
  <c r="AP272" i="3"/>
  <c r="AP201" i="3"/>
  <c r="AP268" i="3"/>
  <c r="AP265" i="3"/>
  <c r="AP240" i="3"/>
  <c r="AP300" i="3"/>
  <c r="AP301" i="3"/>
  <c r="AP273" i="3"/>
  <c r="AP83" i="3"/>
  <c r="AP175" i="3"/>
  <c r="AP158" i="3"/>
  <c r="AP278" i="3"/>
  <c r="AP269" i="3"/>
  <c r="AP224" i="3"/>
  <c r="AP223" i="3"/>
  <c r="AP212" i="3"/>
  <c r="AP89" i="3"/>
  <c r="AP458" i="3"/>
  <c r="AP317" i="3"/>
  <c r="AP475" i="3"/>
  <c r="AP536" i="3"/>
  <c r="AP625" i="3"/>
  <c r="AP612" i="3"/>
  <c r="AP86" i="3"/>
  <c r="AP321" i="3"/>
  <c r="AP208" i="3"/>
  <c r="AP252" i="3"/>
  <c r="AP17" i="3"/>
  <c r="AP518" i="3"/>
  <c r="AP443" i="3"/>
  <c r="AP541" i="3"/>
  <c r="AP444" i="3"/>
  <c r="AP66" i="3"/>
  <c r="AP346" i="3"/>
  <c r="AP614" i="3"/>
  <c r="AP546" i="3"/>
  <c r="AP535" i="3"/>
  <c r="AP464" i="3"/>
  <c r="AP616" i="3"/>
  <c r="AP242" i="3"/>
  <c r="AP631" i="3"/>
  <c r="AP580" i="3"/>
  <c r="AP319" i="3"/>
  <c r="AP133" i="3"/>
  <c r="AP477" i="3"/>
  <c r="AP60" i="3"/>
  <c r="AP261" i="3"/>
  <c r="AP260" i="3"/>
  <c r="AP427" i="3"/>
  <c r="AP408" i="3"/>
  <c r="AP394" i="3"/>
  <c r="AP185" i="3"/>
  <c r="AP637" i="3"/>
  <c r="AP191" i="3"/>
  <c r="AP51" i="3"/>
  <c r="AP46" i="3"/>
  <c r="AP45" i="3"/>
  <c r="AP341" i="3"/>
  <c r="AP172" i="3"/>
  <c r="AP309" i="3"/>
  <c r="AP386" i="3"/>
  <c r="AP140" i="3"/>
  <c r="AP306" i="3"/>
  <c r="AP170" i="3"/>
  <c r="AP168" i="3"/>
  <c r="AP492" i="3"/>
  <c r="AP398" i="3"/>
  <c r="AP195" i="3"/>
  <c r="AP607" i="3"/>
  <c r="AP374" i="3"/>
  <c r="AP451" i="3"/>
  <c r="AP478" i="3"/>
  <c r="AP483" i="3"/>
  <c r="AP75" i="3"/>
  <c r="AP526" i="3"/>
  <c r="AP431" i="3"/>
  <c r="AP590" i="3"/>
  <c r="AP97" i="3"/>
  <c r="AP302" i="3"/>
  <c r="AP112" i="3"/>
  <c r="AP439" i="3"/>
  <c r="AP422" i="3"/>
  <c r="AP103" i="3"/>
  <c r="AP550" i="3"/>
  <c r="AP462" i="3"/>
  <c r="AP129" i="3"/>
  <c r="AP423" i="3"/>
  <c r="AP523" i="3"/>
  <c r="AP569" i="3"/>
  <c r="AP417" i="3"/>
  <c r="AP137" i="3"/>
  <c r="AP87" i="3"/>
  <c r="AP92" i="3"/>
  <c r="AP629" i="3"/>
  <c r="AP291" i="3"/>
  <c r="AP411" i="3"/>
  <c r="AP353" i="3"/>
  <c r="AP472" i="3"/>
  <c r="AP189" i="3"/>
  <c r="AP481" i="3"/>
  <c r="AP289" i="3"/>
  <c r="AP325" i="3"/>
  <c r="AP389" i="3"/>
  <c r="AP295" i="3"/>
  <c r="AP445" i="3"/>
  <c r="AP342" i="3"/>
  <c r="AP233" i="3"/>
  <c r="AP234" i="3"/>
  <c r="AP459" i="3"/>
  <c r="AP177" i="3"/>
  <c r="AP150" i="3"/>
  <c r="AP271" i="3"/>
  <c r="AP204" i="3"/>
  <c r="AP255" i="3"/>
  <c r="AP308" i="3"/>
  <c r="AP357" i="3"/>
  <c r="AP200" i="3"/>
  <c r="AP238" i="3"/>
  <c r="AP169" i="3"/>
  <c r="AP198" i="3"/>
  <c r="AP450" i="3"/>
  <c r="AP452" i="3"/>
  <c r="AP517" i="3"/>
  <c r="AP499" i="3"/>
  <c r="AP207" i="3"/>
  <c r="AP375" i="3"/>
  <c r="AP519" i="3"/>
  <c r="AP363" i="3"/>
  <c r="AP368" i="3"/>
  <c r="AP551" i="3"/>
  <c r="AP547" i="3"/>
  <c r="AP429" i="3"/>
  <c r="AP609" i="3"/>
  <c r="AP27" i="3"/>
  <c r="AP69" i="3"/>
  <c r="AP68" i="3"/>
  <c r="AP67" i="3"/>
  <c r="AP196" i="3"/>
  <c r="AP626" i="3"/>
  <c r="AP544" i="3"/>
  <c r="AP548" i="3"/>
  <c r="AP591" i="3"/>
  <c r="AP219" i="3"/>
  <c r="AP221" i="3"/>
  <c r="AP557" i="3"/>
  <c r="AP597" i="3"/>
  <c r="AP650" i="3"/>
  <c r="AP621" i="3"/>
  <c r="AP404" i="3"/>
  <c r="AP197" i="3"/>
  <c r="AP218" i="3"/>
  <c r="AP217" i="3"/>
  <c r="AP215" i="3"/>
  <c r="AP565" i="3"/>
  <c r="AP210" i="3"/>
  <c r="AP447" i="3"/>
  <c r="AP323" i="3"/>
  <c r="AP339" i="3"/>
  <c r="AP486" i="3"/>
  <c r="AP173" i="3"/>
  <c r="AP33" i="3"/>
  <c r="AP98" i="3"/>
  <c r="AP184" i="3"/>
  <c r="AP287" i="3"/>
  <c r="AP540" i="3"/>
  <c r="AP638" i="3"/>
  <c r="AP513" i="3"/>
  <c r="AP595" i="3"/>
  <c r="AP314" i="3"/>
  <c r="AP442" i="3"/>
  <c r="AP90" i="3"/>
  <c r="AP267" i="3"/>
  <c r="AP381" i="3"/>
  <c r="AP216" i="3"/>
  <c r="AP405" i="3"/>
  <c r="AP290" i="3"/>
  <c r="AP209" i="3"/>
  <c r="AP84" i="3"/>
  <c r="AP441" i="3"/>
  <c r="AP436" i="3"/>
  <c r="AP460" i="3"/>
  <c r="AP393" i="3"/>
  <c r="AP545" i="3"/>
  <c r="AP318" i="3"/>
  <c r="AP156" i="3"/>
  <c r="AP600" i="3"/>
  <c r="AP283" i="3"/>
  <c r="AP299" i="3"/>
  <c r="AP385" i="3"/>
  <c r="AP457" i="3"/>
  <c r="AP31" i="3"/>
  <c r="AP135" i="3"/>
  <c r="AP276" i="3"/>
  <c r="AP80" i="3"/>
  <c r="AP328" i="3"/>
  <c r="AP183" i="3"/>
  <c r="AP292" i="3"/>
  <c r="AP65" i="3"/>
  <c r="AP24" i="3"/>
  <c r="AP37" i="3"/>
  <c r="AP421" i="3"/>
  <c r="AP373" i="3"/>
  <c r="AP74" i="3"/>
  <c r="AP10" i="3"/>
  <c r="AP139" i="3"/>
  <c r="AP516" i="3"/>
  <c r="AP560" i="3"/>
  <c r="AP624" i="3"/>
  <c r="AP525" i="3"/>
  <c r="AP166" i="3"/>
  <c r="AP531" i="3"/>
  <c r="AP543" i="3"/>
  <c r="AP514" i="3"/>
  <c r="AP58" i="3"/>
  <c r="AP190" i="3"/>
  <c r="AP244" i="3"/>
  <c r="AP508" i="3"/>
  <c r="AP70" i="3"/>
  <c r="AP55" i="3"/>
  <c r="AP639" i="3"/>
  <c r="AP520" i="3"/>
  <c r="AP376" i="3"/>
  <c r="AP377" i="3"/>
  <c r="AP568" i="3"/>
  <c r="AP392" i="3"/>
  <c r="AP82" i="3"/>
  <c r="AP507" i="3"/>
  <c r="AP229" i="3"/>
  <c r="AP111" i="3"/>
  <c r="AP594" i="3"/>
  <c r="AP59" i="3"/>
  <c r="AP593" i="3"/>
  <c r="AP645" i="3"/>
  <c r="AP142" i="3"/>
  <c r="AP49" i="3"/>
  <c r="AP365" i="3"/>
  <c r="AP480" i="3"/>
  <c r="AP611" i="3"/>
  <c r="AP366" i="3"/>
  <c r="AP361" i="3"/>
  <c r="AP364" i="3"/>
  <c r="AP362" i="3"/>
  <c r="AP553" i="3"/>
  <c r="AP446" i="3"/>
  <c r="AP558" i="3"/>
  <c r="AP161" i="3"/>
  <c r="AP370" i="3"/>
  <c r="AP54" i="3"/>
  <c r="AP286" i="3"/>
  <c r="AP390" i="3"/>
  <c r="AP85" i="3"/>
  <c r="AP371" i="3"/>
  <c r="AP186" i="3"/>
  <c r="AP43" i="3"/>
  <c r="AP106" i="3"/>
  <c r="AP239" i="3"/>
  <c r="AP437" i="3"/>
  <c r="AP372" i="3"/>
  <c r="AP324" i="3"/>
  <c r="AP159" i="3"/>
  <c r="AP50" i="3"/>
  <c r="AP510" i="3"/>
  <c r="AP542" i="3"/>
  <c r="AP109" i="3"/>
  <c r="AP227" i="3"/>
  <c r="AP414" i="3"/>
  <c r="AP211" i="3"/>
  <c r="AP164" i="3"/>
  <c r="AP581" i="3"/>
  <c r="AP430" i="3"/>
  <c r="AP433" i="3"/>
  <c r="AP463" i="3"/>
  <c r="AP326" i="3"/>
  <c r="AP493" i="3"/>
  <c r="AP640" i="3"/>
  <c r="AP138" i="3"/>
  <c r="AP94" i="3"/>
  <c r="AP76" i="3"/>
  <c r="AP337" i="3"/>
  <c r="AP336" i="3"/>
  <c r="AP285" i="3"/>
  <c r="AP352" i="3"/>
  <c r="AP570" i="3"/>
  <c r="AP356" i="3"/>
  <c r="AP512" i="3"/>
  <c r="AP125" i="3"/>
  <c r="AP533" i="3"/>
  <c r="AP469" i="3"/>
  <c r="AP415" i="3"/>
  <c r="AP348" i="3"/>
  <c r="AP529" i="3"/>
  <c r="AP419" i="3"/>
  <c r="AP554" i="3"/>
  <c r="AP539" i="3"/>
  <c r="AP630" i="3"/>
  <c r="AP576" i="3"/>
  <c r="AP91" i="3"/>
  <c r="AP604" i="3"/>
  <c r="AP334" i="3"/>
  <c r="AP105" i="3"/>
  <c r="AP232" i="3"/>
  <c r="AP7" i="3"/>
  <c r="AP608" i="3"/>
  <c r="AP552" i="3"/>
  <c r="AP524" i="3"/>
  <c r="AP108" i="3"/>
  <c r="AP651" i="3"/>
  <c r="AP566" i="3"/>
  <c r="AP647" i="3"/>
  <c r="AP632" i="3"/>
  <c r="AP527" i="3"/>
  <c r="AP628" i="3"/>
  <c r="AP615" i="3"/>
  <c r="AP610" i="3"/>
  <c r="AP434" i="3"/>
  <c r="AP522" i="3"/>
  <c r="AP521" i="3"/>
  <c r="AP397" i="3"/>
  <c r="AP21" i="3"/>
  <c r="AP380" i="3"/>
  <c r="AP378" i="3"/>
  <c r="AP331" i="3"/>
  <c r="AP633" i="3"/>
  <c r="AP648" i="3"/>
  <c r="AP15" i="3"/>
  <c r="AP474" i="3"/>
  <c r="AP506" i="3"/>
  <c r="AP182" i="3"/>
  <c r="AP180" i="3"/>
  <c r="AP485" i="3"/>
  <c r="AP12" i="3"/>
  <c r="AP333" i="3"/>
  <c r="AP335" i="3"/>
  <c r="AP146" i="3"/>
  <c r="AP407" i="3"/>
  <c r="AP266" i="3"/>
  <c r="AP491" i="3"/>
  <c r="AP494" i="3"/>
  <c r="AP56" i="3"/>
  <c r="AP338" i="3"/>
  <c r="AP382" i="3"/>
  <c r="AP332" i="3"/>
  <c r="AP264" i="3"/>
  <c r="AP162" i="3"/>
  <c r="AP163" i="3"/>
  <c r="AP203" i="3"/>
  <c r="AP634" i="3"/>
  <c r="AP95" i="3"/>
  <c r="AP456" i="3"/>
  <c r="AP509" i="3"/>
  <c r="AP247" i="3"/>
  <c r="AP403" i="3"/>
  <c r="AP379" i="3"/>
  <c r="AP449" i="3"/>
  <c r="AP556" i="3"/>
  <c r="AP470" i="3"/>
  <c r="AP344" i="3"/>
  <c r="AP354" i="3"/>
  <c r="AP81" i="3"/>
  <c r="AP73" i="3"/>
  <c r="AP42" i="3"/>
  <c r="AP455" i="3"/>
  <c r="AP620" i="3"/>
  <c r="AP574" i="3"/>
  <c r="AP187" i="3"/>
  <c r="AP52" i="3"/>
  <c r="AP329" i="3"/>
  <c r="AP327" i="3"/>
  <c r="AP71" i="3"/>
  <c r="AP284" i="3"/>
  <c r="AP230" i="3"/>
  <c r="AP5" i="3"/>
  <c r="AP322" i="3"/>
  <c r="AP165" i="3"/>
  <c r="AP412" i="3"/>
  <c r="AP387" i="3"/>
  <c r="AP6" i="3"/>
  <c r="AP432" i="3"/>
  <c r="AP41" i="3"/>
  <c r="AP3" i="3"/>
  <c r="AP11" i="3"/>
  <c r="AP174" i="3"/>
  <c r="AP297" i="3"/>
  <c r="AP504" i="3"/>
  <c r="AP222" i="3"/>
  <c r="AP44" i="3"/>
</calcChain>
</file>

<file path=xl/sharedStrings.xml><?xml version="1.0" encoding="utf-8"?>
<sst xmlns="http://schemas.openxmlformats.org/spreadsheetml/2006/main" count="18353" uniqueCount="7440">
  <si>
    <t>Algeria</t>
  </si>
  <si>
    <t>Angola</t>
  </si>
  <si>
    <t>Benin</t>
  </si>
  <si>
    <t>Botswana</t>
  </si>
  <si>
    <t>Burkina Faso</t>
  </si>
  <si>
    <t>Burundi</t>
  </si>
  <si>
    <t>Cameroon</t>
  </si>
  <si>
    <t>Cape Verde</t>
  </si>
  <si>
    <t>Central African Republic</t>
  </si>
  <si>
    <t>Chad</t>
  </si>
  <si>
    <t>SassouCG</t>
  </si>
  <si>
    <t>Djibouti</t>
  </si>
  <si>
    <t>Egypt</t>
  </si>
  <si>
    <t>egyptgovportal</t>
  </si>
  <si>
    <t>Ethiopia</t>
  </si>
  <si>
    <t>Gabon</t>
  </si>
  <si>
    <t>Gambia</t>
  </si>
  <si>
    <t>Ghana</t>
  </si>
  <si>
    <t>mfarighana</t>
  </si>
  <si>
    <t>Guinea</t>
  </si>
  <si>
    <t>Ivory Coast</t>
  </si>
  <si>
    <t>Kenya</t>
  </si>
  <si>
    <t>StateHouseKenya</t>
  </si>
  <si>
    <t>ForeignOfficeKE</t>
  </si>
  <si>
    <t>Liberia</t>
  </si>
  <si>
    <t>emansionliberia</t>
  </si>
  <si>
    <t>Libya</t>
  </si>
  <si>
    <t>Madagascar</t>
  </si>
  <si>
    <t>Malawi</t>
  </si>
  <si>
    <t>APMutharika</t>
  </si>
  <si>
    <t>Mali</t>
  </si>
  <si>
    <t>Morocco</t>
  </si>
  <si>
    <t>Mozambique</t>
  </si>
  <si>
    <t>Namibia</t>
  </si>
  <si>
    <t>Niger</t>
  </si>
  <si>
    <t>Nigeria</t>
  </si>
  <si>
    <t>Rwanda</t>
  </si>
  <si>
    <t>RwandaMFA</t>
  </si>
  <si>
    <t>Senegal</t>
  </si>
  <si>
    <t>Seychelles</t>
  </si>
  <si>
    <t>StateHouseSey</t>
  </si>
  <si>
    <t>Sierra Leone</t>
  </si>
  <si>
    <t>Somalia</t>
  </si>
  <si>
    <t>South Africa</t>
  </si>
  <si>
    <t>PresidencyZA</t>
  </si>
  <si>
    <t>GovernmentZA</t>
  </si>
  <si>
    <t>South Sudan</t>
  </si>
  <si>
    <t>Sudan</t>
  </si>
  <si>
    <t>Tanzania</t>
  </si>
  <si>
    <t>Togo</t>
  </si>
  <si>
    <t>FEGnassingbe</t>
  </si>
  <si>
    <t>rdussey</t>
  </si>
  <si>
    <t>Tunisia</t>
  </si>
  <si>
    <t>BejiCEOfficial</t>
  </si>
  <si>
    <t>TunisieDiplo</t>
  </si>
  <si>
    <t>Uganda</t>
  </si>
  <si>
    <t>Zambia</t>
  </si>
  <si>
    <t>Guinea-Bissau</t>
  </si>
  <si>
    <t>Lesotho</t>
  </si>
  <si>
    <t>Sao Tome and Principe</t>
  </si>
  <si>
    <t>Zimbabwe</t>
  </si>
  <si>
    <t>Afghanistan</t>
  </si>
  <si>
    <t>Armenia</t>
  </si>
  <si>
    <t>Azerbaijan</t>
  </si>
  <si>
    <t>Bahrain</t>
  </si>
  <si>
    <t>Bhutan</t>
  </si>
  <si>
    <t>tsheringtobgay</t>
  </si>
  <si>
    <t>Brunei Darussalam</t>
  </si>
  <si>
    <t>East Timor</t>
  </si>
  <si>
    <t>Georgia</t>
  </si>
  <si>
    <t>India</t>
  </si>
  <si>
    <t>narendramodi</t>
  </si>
  <si>
    <t>PMOIndia</t>
  </si>
  <si>
    <t>Indonesia</t>
  </si>
  <si>
    <t>Iran</t>
  </si>
  <si>
    <t>Iraq</t>
  </si>
  <si>
    <t>Israel</t>
  </si>
  <si>
    <t>IsraeliPM</t>
  </si>
  <si>
    <t>IsraelMFA</t>
  </si>
  <si>
    <t>Japan</t>
  </si>
  <si>
    <t>Jordan</t>
  </si>
  <si>
    <t>QueenRania</t>
  </si>
  <si>
    <t>RHCJO</t>
  </si>
  <si>
    <t>Kazakhstan</t>
  </si>
  <si>
    <t>AkordaPress</t>
  </si>
  <si>
    <t>Kuwait</t>
  </si>
  <si>
    <t>MOFAKuwait</t>
  </si>
  <si>
    <t>Kyrgyzstan</t>
  </si>
  <si>
    <t>Lebanon</t>
  </si>
  <si>
    <t>Malaysia</t>
  </si>
  <si>
    <t>PMOMalaysia</t>
  </si>
  <si>
    <t>Maldives</t>
  </si>
  <si>
    <t>presidencymv</t>
  </si>
  <si>
    <t>Mauritius</t>
  </si>
  <si>
    <t>Mongolia</t>
  </si>
  <si>
    <t>Nepal</t>
  </si>
  <si>
    <t>Oman</t>
  </si>
  <si>
    <t>Pakistan</t>
  </si>
  <si>
    <t>Papua New Guinea</t>
  </si>
  <si>
    <t>Philippines</t>
  </si>
  <si>
    <t>Qatar</t>
  </si>
  <si>
    <t>HukoomiQatar</t>
  </si>
  <si>
    <t>Saudi Arabia</t>
  </si>
  <si>
    <t>Singapore</t>
  </si>
  <si>
    <t>leehsienloong</t>
  </si>
  <si>
    <t>South Korea</t>
  </si>
  <si>
    <t>PrimeMinisterKR</t>
  </si>
  <si>
    <t>govkorea</t>
  </si>
  <si>
    <t>Sri Lanka</t>
  </si>
  <si>
    <t>Syria</t>
  </si>
  <si>
    <t>Tajikistan</t>
  </si>
  <si>
    <t>Thailand</t>
  </si>
  <si>
    <t>United Arab Emirates</t>
  </si>
  <si>
    <t>Uzbekistan</t>
  </si>
  <si>
    <t>Yemen</t>
  </si>
  <si>
    <t>Bangladesh</t>
  </si>
  <si>
    <t>Cambodia</t>
  </si>
  <si>
    <t>Myanmar</t>
  </si>
  <si>
    <t>Vietnam</t>
  </si>
  <si>
    <t>Albania</t>
  </si>
  <si>
    <t>Andorra</t>
  </si>
  <si>
    <t>Austria</t>
  </si>
  <si>
    <t>Belgium</t>
  </si>
  <si>
    <t>CharlesMichel</t>
  </si>
  <si>
    <t>Bosnia and Herzegovina</t>
  </si>
  <si>
    <t>Bulgaria</t>
  </si>
  <si>
    <t>MFABulgaria</t>
  </si>
  <si>
    <t>Croatia</t>
  </si>
  <si>
    <t>Cyprus</t>
  </si>
  <si>
    <t>CyprusMFA</t>
  </si>
  <si>
    <t>mzvcr</t>
  </si>
  <si>
    <t>Denmark</t>
  </si>
  <si>
    <t>larsloekke</t>
  </si>
  <si>
    <t>Estonia</t>
  </si>
  <si>
    <t>valismin</t>
  </si>
  <si>
    <t>VladaMK</t>
  </si>
  <si>
    <t>Finland</t>
  </si>
  <si>
    <t>niinisto</t>
  </si>
  <si>
    <t>France</t>
  </si>
  <si>
    <t>Germany</t>
  </si>
  <si>
    <t>AuswaertigesAmt</t>
  </si>
  <si>
    <t>Greece</t>
  </si>
  <si>
    <t>govgr</t>
  </si>
  <si>
    <t>Hungary</t>
  </si>
  <si>
    <t>Iceland</t>
  </si>
  <si>
    <t>MFAIceland</t>
  </si>
  <si>
    <t>Ireland</t>
  </si>
  <si>
    <t>PresidentIRL</t>
  </si>
  <si>
    <t>merrionstreet</t>
  </si>
  <si>
    <t>Italy</t>
  </si>
  <si>
    <t>Latvia</t>
  </si>
  <si>
    <t>Liechtenstein</t>
  </si>
  <si>
    <t>Lithuania</t>
  </si>
  <si>
    <t>Luxembourg</t>
  </si>
  <si>
    <t>Malta</t>
  </si>
  <si>
    <t>DOImalta</t>
  </si>
  <si>
    <t>Moldova</t>
  </si>
  <si>
    <t>Monaco</t>
  </si>
  <si>
    <t>palaismonaco</t>
  </si>
  <si>
    <t>GvtMonaco</t>
  </si>
  <si>
    <t>Netherlands</t>
  </si>
  <si>
    <t>Norway</t>
  </si>
  <si>
    <t>Poland</t>
  </si>
  <si>
    <t>Portugal</t>
  </si>
  <si>
    <t>Romania</t>
  </si>
  <si>
    <t>Russia</t>
  </si>
  <si>
    <t>Serbia</t>
  </si>
  <si>
    <t>predsednikrs</t>
  </si>
  <si>
    <t>DacicIvica</t>
  </si>
  <si>
    <t>vladaOCDrs</t>
  </si>
  <si>
    <t>Slovakia</t>
  </si>
  <si>
    <t>Slovenia</t>
  </si>
  <si>
    <t>Spain</t>
  </si>
  <si>
    <t>Sweden</t>
  </si>
  <si>
    <t>Kungahuset</t>
  </si>
  <si>
    <t>SweMFA</t>
  </si>
  <si>
    <t>Switzerland</t>
  </si>
  <si>
    <t>Turkey</t>
  </si>
  <si>
    <t>tcbestepe</t>
  </si>
  <si>
    <t>trpresidency</t>
  </si>
  <si>
    <t>Ukraine</t>
  </si>
  <si>
    <t>United Kingdom</t>
  </si>
  <si>
    <t>foreignoffice</t>
  </si>
  <si>
    <t>San Marino</t>
  </si>
  <si>
    <t>Antigua and Barbuda</t>
  </si>
  <si>
    <t>Bahamas</t>
  </si>
  <si>
    <t>Barbados</t>
  </si>
  <si>
    <t>gisbarbados</t>
  </si>
  <si>
    <t>Belize</t>
  </si>
  <si>
    <t>Canada</t>
  </si>
  <si>
    <t>CanadaFP</t>
  </si>
  <si>
    <t>CanadaPE</t>
  </si>
  <si>
    <t>Costa Rica</t>
  </si>
  <si>
    <t>Cuba</t>
  </si>
  <si>
    <t>CubaMINREX</t>
  </si>
  <si>
    <t>Dominica</t>
  </si>
  <si>
    <t>Dominican Republic</t>
  </si>
  <si>
    <t>PresidenciaRD</t>
  </si>
  <si>
    <t>El Salvador</t>
  </si>
  <si>
    <t>Grenada</t>
  </si>
  <si>
    <t>Guatemala</t>
  </si>
  <si>
    <t>Haiti</t>
  </si>
  <si>
    <t>Honduras</t>
  </si>
  <si>
    <t>Jamaica</t>
  </si>
  <si>
    <t>Mexico</t>
  </si>
  <si>
    <t>PresidenciaMX</t>
  </si>
  <si>
    <t>gobmx</t>
  </si>
  <si>
    <t>Panama</t>
  </si>
  <si>
    <t>IsabelStMalo</t>
  </si>
  <si>
    <t>Saint Kitts and Nevis</t>
  </si>
  <si>
    <t>Saint Lucia</t>
  </si>
  <si>
    <t>Trinidad and Tobago</t>
  </si>
  <si>
    <t>otptt</t>
  </si>
  <si>
    <t>United States</t>
  </si>
  <si>
    <t>WhiteHouse</t>
  </si>
  <si>
    <t>POTUS</t>
  </si>
  <si>
    <t>Australia</t>
  </si>
  <si>
    <t>Fiji</t>
  </si>
  <si>
    <t>Marshall Islands</t>
  </si>
  <si>
    <t>New Zealand</t>
  </si>
  <si>
    <t>Palau</t>
  </si>
  <si>
    <t>Samoa</t>
  </si>
  <si>
    <t>Tonga</t>
  </si>
  <si>
    <t>Vanuatu</t>
  </si>
  <si>
    <t>Solomon Islands</t>
  </si>
  <si>
    <t>Argentina</t>
  </si>
  <si>
    <t>mauriciomacri</t>
  </si>
  <si>
    <t>Bolivia</t>
  </si>
  <si>
    <t>Brazil</t>
  </si>
  <si>
    <t>ItamaratyGovBr</t>
  </si>
  <si>
    <t>Chile</t>
  </si>
  <si>
    <t>Colombia</t>
  </si>
  <si>
    <t>CancilleriaCol</t>
  </si>
  <si>
    <t>Ecuador</t>
  </si>
  <si>
    <t>Guyana</t>
  </si>
  <si>
    <t>MOTPGuyana</t>
  </si>
  <si>
    <t>opmguyana</t>
  </si>
  <si>
    <t>Paraguay</t>
  </si>
  <si>
    <t>PresidenciaPy</t>
  </si>
  <si>
    <t>mreparaguay</t>
  </si>
  <si>
    <t>Peru</t>
  </si>
  <si>
    <t>prensapalacio</t>
  </si>
  <si>
    <t>CancilleriaPeru</t>
  </si>
  <si>
    <t>Venezuela</t>
  </si>
  <si>
    <t>NicolasMaduro</t>
  </si>
  <si>
    <t>Suriname</t>
  </si>
  <si>
    <t>Kosovo</t>
  </si>
  <si>
    <t>Palestine</t>
  </si>
  <si>
    <t>JunckerEU</t>
  </si>
  <si>
    <t>Puerto Rico</t>
  </si>
  <si>
    <t>DeptEstadoPR</t>
  </si>
  <si>
    <t>https://www.facebook.com/primatureRCA/</t>
  </si>
  <si>
    <t>https://www.facebook.com/PAGEOFFICIELLEIOG/</t>
  </si>
  <si>
    <t>https://www.facebook.com/heryvaovao/</t>
  </si>
  <si>
    <t>https://www.facebook.com/patrice.trovoada.oficial</t>
  </si>
  <si>
    <t>https://www.facebook.com/Dr.AbdullahAbdullah/</t>
  </si>
  <si>
    <t>https://www.facebook.com/PresidentYAG/</t>
  </si>
  <si>
    <t>https://www.facebook.com/HetKoninklijkHuis/</t>
  </si>
  <si>
    <t>https://www.facebook.com/UKgovernment/</t>
  </si>
  <si>
    <t>https://www.facebook.com/Office-of-the-Prime-Minister-Belize-317057388365804/</t>
  </si>
  <si>
    <t>https://www.facebook.com/gobmx/</t>
  </si>
  <si>
    <t>https://www.facebook.com/sgovpr/</t>
  </si>
  <si>
    <t>https://www.facebook.com/APNU.Guyana/</t>
  </si>
  <si>
    <t>https://www.facebook.com/presidenciaperu/</t>
  </si>
  <si>
    <t>Comments</t>
  </si>
  <si>
    <t>username</t>
  </si>
  <si>
    <t>id</t>
  </si>
  <si>
    <t>name</t>
  </si>
  <si>
    <t>website</t>
  </si>
  <si>
    <t>about</t>
  </si>
  <si>
    <t>bio</t>
  </si>
  <si>
    <t>category</t>
  </si>
  <si>
    <t>category_list</t>
  </si>
  <si>
    <t>founded</t>
  </si>
  <si>
    <t>checkins</t>
  </si>
  <si>
    <t>talking_about_count</t>
  </si>
  <si>
    <t>were_here_count</t>
  </si>
  <si>
    <t>link</t>
  </si>
  <si>
    <t>location</t>
  </si>
  <si>
    <t>cover</t>
  </si>
  <si>
    <t>affiliation</t>
  </si>
  <si>
    <t>can_checkin</t>
  </si>
  <si>
    <t>company_overview</t>
  </si>
  <si>
    <t>contact_address</t>
  </si>
  <si>
    <t>current_location</t>
  </si>
  <si>
    <t>description</t>
  </si>
  <si>
    <t>general_info</t>
  </si>
  <si>
    <t>hours</t>
  </si>
  <si>
    <t>is_community_page</t>
  </si>
  <si>
    <t>is_permanently_closed</t>
  </si>
  <si>
    <t>is_unclaimed</t>
  </si>
  <si>
    <t>is_verified</t>
  </si>
  <si>
    <t>mission</t>
  </si>
  <si>
    <t>parent_page</t>
  </si>
  <si>
    <t>personal_info</t>
  </si>
  <si>
    <t>personal_interests</t>
  </si>
  <si>
    <t>phone</t>
  </si>
  <si>
    <t>place_type</t>
  </si>
  <si>
    <t>products</t>
  </si>
  <si>
    <t>single_line_address</t>
  </si>
  <si>
    <t>store_number</t>
  </si>
  <si>
    <t>Photos</t>
  </si>
  <si>
    <t>Country</t>
  </si>
  <si>
    <t>Page Section</t>
  </si>
  <si>
    <t>Links</t>
  </si>
  <si>
    <t>Abdelazizbouteflikaofficielle</t>
  </si>
  <si>
    <t>عبد العزيز بوتفليقة - Abdelaziz Bouteflika</t>
  </si>
  <si>
    <t>http://www.abdelaziz-bouteflika.com</t>
  </si>
  <si>
    <t>La page officielle du président Abdelaziz Bouteflika.</t>
  </si>
  <si>
    <t>Politician</t>
  </si>
  <si>
    <t>https://www.facebook.com/Abdelazizbouteflikaofficielle/</t>
  </si>
  <si>
    <t>President Abdelaziz Bouteflika</t>
  </si>
  <si>
    <t>n/a</t>
  </si>
  <si>
    <t>Active</t>
  </si>
  <si>
    <t>Presidency</t>
  </si>
  <si>
    <t>Government</t>
  </si>
  <si>
    <t>Seretse Khama Ian Khama</t>
  </si>
  <si>
    <t>http://www.gov.bw/en/ministries--authorities/ministries/state-president/office-of-the-president/about-the-office-of-the-president/</t>
  </si>
  <si>
    <t>President Ian Khama has led Botswana since 2008, working tirelessly to move Botswana forward towards freedom, prosperity and jobs for all</t>
  </si>
  <si>
    <t>Public Figure</t>
  </si>
  <si>
    <t>https://www.facebook.com/Seretse-Khama-Ian-Khama-667630409972128/</t>
  </si>
  <si>
    <t>President Seretse Khama Ian Khama</t>
  </si>
  <si>
    <t>Office of the President, Republic of Botswana</t>
  </si>
  <si>
    <t>http://www.gov.bw</t>
  </si>
  <si>
    <t>Government Organization</t>
  </si>
  <si>
    <t>https://www.facebook.com/Office-of-the-President-Republic-of-Botswana-752312678198295/</t>
  </si>
  <si>
    <t>PLACE</t>
  </si>
  <si>
    <t>BWgovernment</t>
  </si>
  <si>
    <t>The politics of Botswana take place in a framework of a representative democratic republic, whereby the President of Botswana is both head of state and head of government, and of a multi-party system. Executive power is exercised by the government. Legislative power is vested in both the government and the Parliament of Botswana.</t>
  </si>
  <si>
    <t>Lefatshe la Botswana (Republic of Botswana) is a country located in Southern Africa. The citizens are referred to as "Batswana" (singular: Motswana). Formerly the British protectorate of Bechuanaland, Botswana adopted its new name after becoming independent within the Commonwealth on 30 September 1966. It has held free and fair democratic elections since independence.</t>
  </si>
  <si>
    <t>Diamonds, Copper, Nickel, Gold, Beef</t>
  </si>
  <si>
    <t>www.mofaic.gov</t>
  </si>
  <si>
    <t>Local Business</t>
  </si>
  <si>
    <t>MOFAIC exists to promote and manage foreign relations as well as advance Botswana's interests. The Ministry also provides protocol and consular services in accordance with international norms and practices. The Ministry is commited to providing professional,effective and efficient services to its clients and stakeholders.</t>
  </si>
  <si>
    <t>P/Bag 00368, Gaborone, Botswana</t>
  </si>
  <si>
    <t>Foreign Ministry</t>
  </si>
  <si>
    <t>Présidence du Faso</t>
  </si>
  <si>
    <t>http://presidence.bf/</t>
  </si>
  <si>
    <t>presidence du Faso</t>
  </si>
  <si>
    <t>Pierre Nkurunziza</t>
  </si>
  <si>
    <t>PresidenceBurundi</t>
  </si>
  <si>
    <t>Présidence - République du Burundi</t>
  </si>
  <si>
    <t>http://www.presidence.gov.bi</t>
  </si>
  <si>
    <t>https://www.facebook.com/PresidenceBurundi/</t>
  </si>
  <si>
    <t>Dormant</t>
  </si>
  <si>
    <t>Gouvernement de la République du Burundi</t>
  </si>
  <si>
    <t>http://burundi.gov.bi</t>
  </si>
  <si>
    <t>Le Portail du Gouvernement de la République du Burundi</t>
  </si>
  <si>
    <t>https://www.facebook.com/Gouvernement-de-la-République-du-Burundi-1006449296051502/</t>
  </si>
  <si>
    <t>President Paul Biya</t>
  </si>
  <si>
    <t>PaulBiya.PageOfficielle</t>
  </si>
  <si>
    <t>https://www.facebook.com/PaulBiya.PageOfficielle/</t>
  </si>
  <si>
    <t>Palais Présidentiel, Yaoundé, Cameroon</t>
  </si>
  <si>
    <t>Jorge Carlos Fonseca</t>
  </si>
  <si>
    <t>Presidencia.cv</t>
  </si>
  <si>
    <t>Presidência da República de Cabo Verde</t>
  </si>
  <si>
    <t>http://www.presidencia.cv</t>
  </si>
  <si>
    <t>O Presidente da República é o garante da unidade da Nação e do Estado, da independência nacional e vigia e garante o cumprimento da Constituição.</t>
  </si>
  <si>
    <t>Organization</t>
  </si>
  <si>
    <t>09 de Setembro de 2011</t>
  </si>
  <si>
    <t>https://www.facebook.com/Presidencia.cv/</t>
  </si>
  <si>
    <t>(00238)2612829</t>
  </si>
  <si>
    <t>Plateau, Praia, CP 100 Praia, Cape Verde</t>
  </si>
  <si>
    <t>primatureRCA</t>
  </si>
  <si>
    <t>Primature, République Centrafricaine</t>
  </si>
  <si>
    <t>http://www.primature-rca.org</t>
  </si>
  <si>
    <t>Page officielle de la Primature de la République Centrafricaine</t>
  </si>
  <si>
    <t>Political Organization</t>
  </si>
  <si>
    <t>CM/Communications, RP et NTIC</t>
  </si>
  <si>
    <t>President Idriss Déby Itno</t>
  </si>
  <si>
    <t>Inactive</t>
  </si>
  <si>
    <t>Primature de la Republique du Tchad</t>
  </si>
  <si>
    <t>Bienvenue sur la Page Facebook de la Primature de la Republique du Tchad.</t>
  </si>
  <si>
    <t>https://www.facebook.com/Primature-de-la-Republique-du-Tchad-119987794693584/</t>
  </si>
  <si>
    <t>Abu Dhabi</t>
  </si>
  <si>
    <t>Denis Sassou N'Guesso</t>
  </si>
  <si>
    <t>http://www.sassou.cg</t>
  </si>
  <si>
    <t>Page officielle du Président de la République du Congo</t>
  </si>
  <si>
    <t>https://www.facebook.com/SassouCG/</t>
  </si>
  <si>
    <t>Brazzaville</t>
  </si>
  <si>
    <t>Congo</t>
  </si>
  <si>
    <t>President Denis Sassou-Nguesso</t>
  </si>
  <si>
    <t>gouvernementcongobrazzaville</t>
  </si>
  <si>
    <t>Gouvernement du Congo-Brazzaville</t>
  </si>
  <si>
    <t>Bienvenus à la page officielle du Gouvernement du Congo-Brazzaville.</t>
  </si>
  <si>
    <t>https://www.facebook.com/gouvernementcongobrazzaville/</t>
  </si>
  <si>
    <t>Informer le peuple du grand pays du Congo-Brazzaville sur le travail officiel du Gouvernement, concernant les programmes, projets et actions. Parce que le travail ne peut pas s'arrêter!</t>
  </si>
  <si>
    <t>Joseph Kabila Kabange</t>
  </si>
  <si>
    <t>www.presidentrdc.cd</t>
  </si>
  <si>
    <t>Democratic Republic of Congo</t>
  </si>
  <si>
    <t>President Joseph Kabila</t>
  </si>
  <si>
    <t>PrimatureRDCongo</t>
  </si>
  <si>
    <t>Primature de la République Démocratique du Congo</t>
  </si>
  <si>
    <t>https://www.primature.cd/</t>
  </si>
  <si>
    <t>Page officielle de la Primature de la République Démocratique du Congo</t>
  </si>
  <si>
    <t>https://www.facebook.com/PrimatureRDCongo/</t>
  </si>
  <si>
    <t>President Ismail Omar Guelleh</t>
  </si>
  <si>
    <t>AlSisiofficial</t>
  </si>
  <si>
    <t>AbdelFattah Elsisi - عبد الفتاح السيسي</t>
  </si>
  <si>
    <t>http://www.sisi2014.net/</t>
  </si>
  <si>
    <t>https://www.facebook.com/AlSisiofficial/</t>
  </si>
  <si>
    <t>Cairo, Egypt</t>
  </si>
  <si>
    <t>بوابة خدمات الحكومة المصرية</t>
  </si>
  <si>
    <t>www.egypt.gov.eg</t>
  </si>
  <si>
    <t>https://www.facebook.com/egyptgovportal/</t>
  </si>
  <si>
    <t>سامح شكري</t>
  </si>
  <si>
    <t>http://www.mfa.gov.eg</t>
  </si>
  <si>
    <t>وزير خارجية جمهورية مصر العربية</t>
  </si>
  <si>
    <t>https://www.facebook.com/سامح-شكري-1479684935601755/</t>
  </si>
  <si>
    <t>Foreign Minister Sameh Choukry</t>
  </si>
  <si>
    <t>MFAEgypt</t>
  </si>
  <si>
    <t>الصفحة الرسمية لوزارة الخارجية المصرية</t>
  </si>
  <si>
    <t>https://www.facebook.com/MFAEgypt/</t>
  </si>
  <si>
    <t>(+202)19413-25772500-25774944-25777101- 25796334 - 25746872 - 25746871 - 25796338-</t>
  </si>
  <si>
    <t>Corniche El-Nile, Maspiro, Cairo, Egypt</t>
  </si>
  <si>
    <t>MFAEgyptEnglish</t>
  </si>
  <si>
    <t>Egyptian Ministry of Foreign Affairs</t>
  </si>
  <si>
    <t>http://www.mfa.gov.eg/ , https://twitter.com/MfaEgypt</t>
  </si>
  <si>
    <t>Ministry of Foreign Affairs of the Arab Republic of Egypt</t>
  </si>
  <si>
    <t>https://www.facebook.com/MFAEgyptEnglish/</t>
  </si>
  <si>
    <t>Office of the President</t>
  </si>
  <si>
    <t>office of the president posted by Addis Belete</t>
  </si>
  <si>
    <t>https://www.facebook.com/Office-of-the-President-791067600945337/</t>
  </si>
  <si>
    <t>Prime Minister Hailemariam Desalegn</t>
  </si>
  <si>
    <t>Government Official</t>
  </si>
  <si>
    <t>MFAEthiopia</t>
  </si>
  <si>
    <t>The Ministry of Foreign Affairs of Ethiopia</t>
  </si>
  <si>
    <t>www.mfa.gov.et</t>
  </si>
  <si>
    <t>This is the official facebook page of the Ministry of Foreign Affairs of the Federal Democratic Republic of Ethiopia, a government department responsible for Ethiopia's diplomatic relations abroad. www.mfa.gov.et</t>
  </si>
  <si>
    <t>https://www.facebook.com/MFAEthiopia/</t>
  </si>
  <si>
    <t>The Ministry of Foreign Affairs is a leading diplomatic institution in Africa with the ability and capacity to marshal strategic partners for the continent and the region; to play a central role in Ethiopia’s growth into a democratic developmental state and in the achievement of peace and stability in the Horn of Africa.</t>
  </si>
  <si>
    <t>Menelik II Avenue, P.O. Box 393 Addis Ababa, Ethiopia</t>
  </si>
  <si>
    <t>Ali Bongo Ondimba</t>
  </si>
  <si>
    <t>alibongoondimba</t>
  </si>
  <si>
    <t>https://www.facebook.com/alibongoondimba/</t>
  </si>
  <si>
    <t>Libreville, Gabon</t>
  </si>
  <si>
    <t>President Ali Bongo Ondimba</t>
  </si>
  <si>
    <t>Présidence de la République Gabonaise</t>
  </si>
  <si>
    <t>PresidenceGabon</t>
  </si>
  <si>
    <t>http://www.presidence-gabon.ga/</t>
  </si>
  <si>
    <t>Bienvenue sur la page officielle de la Présidence de la République Gabonaise.</t>
  </si>
  <si>
    <t>https://www.facebook.com/PresidenceGabon/</t>
  </si>
  <si>
    <t>gabon.primature</t>
  </si>
  <si>
    <t>Primature-Gabon</t>
  </si>
  <si>
    <t>Page qui fait la promotion des activités du Premier Ministre, Chef du Gouvernement en Fonction</t>
  </si>
  <si>
    <t>https://www.facebook.com/gabon.primature/</t>
  </si>
  <si>
    <t>(+241) 01 77 56 24</t>
  </si>
  <si>
    <t>flagstaffhouse</t>
  </si>
  <si>
    <t>Flagstaff House</t>
  </si>
  <si>
    <t>http://www.presidency.gov.gh</t>
  </si>
  <si>
    <t>https://www.facebook.com/flagstaffhouse/</t>
  </si>
  <si>
    <t>Office of the President, Kanda- Accra</t>
  </si>
  <si>
    <t>President  Alpha Condé</t>
  </si>
  <si>
    <t>PresidenceRepubliqueGuinee</t>
  </si>
  <si>
    <t>Présidence de la République de Guinée</t>
  </si>
  <si>
    <t>http://www.presidence.gov.gn</t>
  </si>
  <si>
    <t>Page officielle de la Présidence de la République de Guinée</t>
  </si>
  <si>
    <t>Bâti entre 1889 et 1890</t>
  </si>
  <si>
    <t>https://www.facebook.com/PresidenceRepubliqueGuinee/</t>
  </si>
  <si>
    <t>Bienvenue sur la page officielle de la Présidence de la République de Guinée.</t>
  </si>
  <si>
    <t>le palais de la république appelé aujourd'hui sekhoutoureya est la résidence officielle du président de la république de Guinée. Il abrite également les services rattachés à la présidence de la république.</t>
  </si>
  <si>
    <t>Gouvernement Guinéen Officiel</t>
  </si>
  <si>
    <t>http://Gouvernement.gov.gn</t>
  </si>
  <si>
    <t>Hashtag Officiel: #GouvGN #GN224</t>
  </si>
  <si>
    <t>Conakry, Guinea</t>
  </si>
  <si>
    <t>Ministère des Affaires Etrangères et des Guinéens de l’Etranger</t>
  </si>
  <si>
    <t>JOMAV José Mario Vaz Président</t>
  </si>
  <si>
    <t>José Mario VAZ, né à Calequisse (Guinée-Bissau), ancien ministre des finances, est candidat à la présidence de la république de la Guinée-Bissau.</t>
  </si>
  <si>
    <t>https://www.facebook.com/JOMAV-José-Mario-Vaz-Président-797477746936993/</t>
  </si>
  <si>
    <t>Bissau, Guinea-Bissau</t>
  </si>
  <si>
    <t>President José Mário Vaz</t>
  </si>
  <si>
    <t>JOMAV Presidente</t>
  </si>
  <si>
    <t>http://laurindopascoalpereirafacebook.com</t>
  </si>
  <si>
    <t>https://www.facebook.com/JOMAV-Presidente-580510255379054/</t>
  </si>
  <si>
    <t>President Alassane Dramane Ouattara</t>
  </si>
  <si>
    <t>Presidencecotedivoire</t>
  </si>
  <si>
    <t>https://www.facebook.com/Presidencecotedivoire/</t>
  </si>
  <si>
    <t>gouvci.officiel</t>
  </si>
  <si>
    <t>Gouv.ci Officiel</t>
  </si>
  <si>
    <t>https://www.facebook.com/gouvci.officiel/</t>
  </si>
  <si>
    <t>01 bp 12243 abidjan 01, 12243 Abidjan, Cote d'Ivoire</t>
  </si>
  <si>
    <t>Uhuru Kenyatta</t>
  </si>
  <si>
    <t>myuhurukenyatta</t>
  </si>
  <si>
    <t>President of The Republic of Kenya</t>
  </si>
  <si>
    <t>https://www.facebook.com/myuhurukenyatta/</t>
  </si>
  <si>
    <t>Golf, Football</t>
  </si>
  <si>
    <t>President Uhuru Kenyatta</t>
  </si>
  <si>
    <t>State House Kenya</t>
  </si>
  <si>
    <t>State House Kenya - Stay Connected!</t>
  </si>
  <si>
    <t>https://www.facebook.com/StateHouseKenya/</t>
  </si>
  <si>
    <t>Government of Kenya</t>
  </si>
  <si>
    <t>Pamoja Twasonga Mbele!</t>
  </si>
  <si>
    <t>https://www.facebook.com/Government-of-Kenya-280212665505125/</t>
  </si>
  <si>
    <t>P.O Box: 40530 00100, Nairobi, Kenya., Nairobi, Kenya</t>
  </si>
  <si>
    <t>Amb Dr Amina C. Mohammed</t>
  </si>
  <si>
    <t>Ambassador Amina C. Mohamed is the current Cabinet Secretary to the Ministry of Foreign Affairs and International Trade and a committed international civil servant who has had a distinguished career in both Public and Foreign Service. She has served in strategic Government Positions and has been elected to key International Positions. Her work experience in over twenty six years covers a broad spectrum of domestic and international assignments.</t>
  </si>
  <si>
    <t>https://www.facebook.com/Amb-Dr-Amina-C-Mohammed-243558335851543/</t>
  </si>
  <si>
    <t>Box 30551, Nairobi, Kenya, 00100</t>
  </si>
  <si>
    <t>Foreign Minister Amina Mohamed</t>
  </si>
  <si>
    <t>http://mfa.go.ke</t>
  </si>
  <si>
    <t>https://www.facebook.com/ForeignOfficeKE/</t>
  </si>
  <si>
    <t>PresidentialStrategicCommunicationsUnitDigital</t>
  </si>
  <si>
    <t>Presidential Strategic Communications Unit - Digital</t>
  </si>
  <si>
    <t>PSCU (Digital) - Embracing the digital age!</t>
  </si>
  <si>
    <t>https://www.facebook.com/PresidentialStrategicCommunicationsUnitDigital/</t>
  </si>
  <si>
    <t>mofairlesotho</t>
  </si>
  <si>
    <t>Ministry of Foreign Affairs and International Relations Lesotho</t>
  </si>
  <si>
    <t>http://www.foreign.gov.ls</t>
  </si>
  <si>
    <t>https://www.facebook.com/mofairlesotho/</t>
  </si>
  <si>
    <t>To advance and protect Lesotho’s national interests in the international arena.</t>
  </si>
  <si>
    <t>Maseru, Lesotho 100</t>
  </si>
  <si>
    <t>Executive Mansion</t>
  </si>
  <si>
    <t>http://www.emansion.gov.lr</t>
  </si>
  <si>
    <t>The official Facebook page of the President of the Republic of Liberia</t>
  </si>
  <si>
    <t>https://www.facebook.com/emansionliberia/</t>
  </si>
  <si>
    <t>Ministry of State for Presidential Affairs, Monrovia, Liberia</t>
  </si>
  <si>
    <t>Dormant since 15.02.2013</t>
  </si>
  <si>
    <t>Ministry of Foreign Affairs, Republic of Liberia</t>
  </si>
  <si>
    <t>http://www.mofa.gov.lr</t>
  </si>
  <si>
    <t>The Ministry of Foreign Affairs is the arm of government charged with the task of formulating and implementing the foreign policy and foreign relations.</t>
  </si>
  <si>
    <t>https://www.facebook.com/Ministry-of-Foreign-Affairs-Republic-of-Liberia-371689359570483/</t>
  </si>
  <si>
    <t>Capitol Hill</t>
  </si>
  <si>
    <t>LibyanGovernment</t>
  </si>
  <si>
    <t>https://www.facebook.com/LibyanGovernment/</t>
  </si>
  <si>
    <t>pm.gov.ly</t>
  </si>
  <si>
    <t>http://www.pm.gov.ly</t>
  </si>
  <si>
    <t>https://www.facebook.com/pm.gov.ly/</t>
  </si>
  <si>
    <t>خدمة الشعب الليبي</t>
  </si>
  <si>
    <t>Dormant since 10.01.2013</t>
  </si>
  <si>
    <t>mofa.gov.ly</t>
  </si>
  <si>
    <t>Ministry of Foreign Affairs and International Cooperation - Libya</t>
  </si>
  <si>
    <t>http://www.mofa.gov.ly</t>
  </si>
  <si>
    <t>الصفحة الرسمية لوزارة الخارجية و التعاون الدولي- دولة ليبيا
  لمراسلتنا :info@foreign.gov.ly</t>
  </si>
  <si>
    <t>https://www.facebook.com/mofa.gov.ly/</t>
  </si>
  <si>
    <t>كانت في السابق تسمى اللجنة الشعبية العامة للإتصال الخارجي و التعاون الدولي وكان جل موظفيها يعانون من الإجراءات التعسفية للنظام السابق وبعد ثورة السابع عشر من فبراير و تحرير ليبيا رجع إسمها كما كان في الماضي الجميل ( وزارة الخارجية و التعاون الدولي )</t>
  </si>
  <si>
    <t>heryvaovao</t>
  </si>
  <si>
    <t>Hery Rajaonarimampianina</t>
  </si>
  <si>
    <t>http://www.heryvaovao.com</t>
  </si>
  <si>
    <t>Page officielle de Hery Rajaonarimampianina - Premier Président élu de la 4ème République de Madagascar</t>
  </si>
  <si>
    <t>Palais d'Ambohitsorohitra, Antananarivo, Madagascar</t>
  </si>
  <si>
    <t>Dormant since 14.09.2014</t>
  </si>
  <si>
    <t>President Hery Rajaonarimampianina</t>
  </si>
  <si>
    <t>compresidencemadagascar</t>
  </si>
  <si>
    <t>Présidence de la République de Madagascar</t>
  </si>
  <si>
    <t>http://www.presidence.gov.mg/</t>
  </si>
  <si>
    <t>https://www.facebook.com/compresidencemadagascar/</t>
  </si>
  <si>
    <t>Palais d'Etat Iavoloha, 102 Iavoloha</t>
  </si>
  <si>
    <t>Arthur Peter Mutharika</t>
  </si>
  <si>
    <t>Official Page for His Excellency Prof. Arthur Peter Mutharika, State President of the Republic of Malawi</t>
  </si>
  <si>
    <t>https://www.facebook.com/APMutharika/</t>
  </si>
  <si>
    <t>Liberal Democrat</t>
  </si>
  <si>
    <t>Reading</t>
  </si>
  <si>
    <t>Kamuzu Palace, +265 Lilongwe, Malawi</t>
  </si>
  <si>
    <t>President Peter Mutharika</t>
  </si>
  <si>
    <t>IBK.Officiel</t>
  </si>
  <si>
    <t>Ibrahim Boubacar Keita - IBK (Page Officielle)</t>
  </si>
  <si>
    <t>http://www.ibk2013.com</t>
  </si>
  <si>
    <t>Page officielle d'Ibrahim Boubacar Keita, Président de la République du Mali</t>
  </si>
  <si>
    <t>https://www.facebook.com/IBK.Officiel/</t>
  </si>
  <si>
    <t>Président de la République du Mali</t>
  </si>
  <si>
    <t>Sebenicoro, Woyoyanko, Bamako, Mali</t>
  </si>
  <si>
    <t>President Ibrahim B. Keita</t>
  </si>
  <si>
    <t>Presidence.Mali</t>
  </si>
  <si>
    <t>Présidence de la République du Mali</t>
  </si>
  <si>
    <t>http://www.koulouba.ml</t>
  </si>
  <si>
    <t>Page facebook officielle de la Présidence de la République du Mali</t>
  </si>
  <si>
    <t>https://www.facebook.com/Presidence.Mali/</t>
  </si>
  <si>
    <t>Primature du Mali</t>
  </si>
  <si>
    <t>www.primature.gov.ml</t>
  </si>
  <si>
    <t>http://www.primature.gov.ml</t>
  </si>
  <si>
    <t>https://www.facebook.com/www.primature.gov.ml/</t>
  </si>
  <si>
    <t>cg.gov.ma</t>
  </si>
  <si>
    <t>رئيس الحكومة المغربية</t>
  </si>
  <si>
    <t>http://www.cg.gov.ma</t>
  </si>
  <si>
    <t>الصفحة الرسمية لرئيس الحكومة هي الوحيدة التي يمكن الوصول إليها من الموقع الرسمي www.cg.gov.ma</t>
  </si>
  <si>
    <t>https://www.facebook.com/cg.gov.ma/</t>
  </si>
  <si>
    <t>eGov Maroc</t>
  </si>
  <si>
    <t>egovmaroc</t>
  </si>
  <si>
    <t>http://www.egov.ma</t>
  </si>
  <si>
    <t>Page officielle du programme e-Gouvernement Marocain</t>
  </si>
  <si>
    <t>https://www.facebook.com/egovmaroc/</t>
  </si>
  <si>
    <t>Direction de l'Economie Numérique, Angle Avenue Kamal Zebdi et Rue Dadi (Secteur 21), Hay Riad Rabat</t>
  </si>
  <si>
    <t>NyusiConfioemti</t>
  </si>
  <si>
    <t>http://www.nyusi.org.mz/</t>
  </si>
  <si>
    <t>https://www.facebook.com/NyusiConfioemti/</t>
  </si>
  <si>
    <t>Rua Frente de Libertação Nacional de Moçambique, 221, Maputo, Mozambique</t>
  </si>
  <si>
    <t>President Filipe Nyusi</t>
  </si>
  <si>
    <t>Carlos Agostinho do Rosário</t>
  </si>
  <si>
    <t>Esta página é administrada pelo Gabinete do Primeiro-Ministro da República de Moçambique. Visite-nos no www.facebook.com/gpm.mz</t>
  </si>
  <si>
    <t>https://www.facebook.com/Carlos-Agostinho-do-Rosário-328165980711185/</t>
  </si>
  <si>
    <t>Agostinho Juisse e Rosa Sechene</t>
  </si>
  <si>
    <t>Avenida Belmiro Obadias Muianga, 2604 Maputo, Mozambique</t>
  </si>
  <si>
    <t>Prime Minister Carlos Agostinho do Rosário</t>
  </si>
  <si>
    <t>DrHageGeingob</t>
  </si>
  <si>
    <t>Dr. Hage Geingob</t>
  </si>
  <si>
    <t>https://www.facebook.com/DrHageGeingob/</t>
  </si>
  <si>
    <t>President Hage Geingob</t>
  </si>
  <si>
    <t>foreignaffarisnamibia</t>
  </si>
  <si>
    <t>Ministry of International Relations and Cooperation Namibia</t>
  </si>
  <si>
    <t>http://www.mfa.gov.na/</t>
  </si>
  <si>
    <t>https://www.facebook.com/foreignaffarisnamibia/</t>
  </si>
  <si>
    <t>Government Buidings Robert Mugabe Avenue, Windhoek, Namibia Windhoek, Namibia</t>
  </si>
  <si>
    <t>Presidence.du.Niger</t>
  </si>
  <si>
    <t>Présidence De La République Du Niger</t>
  </si>
  <si>
    <t>http://www.presidence.ne</t>
  </si>
  <si>
    <t>Bienvenue sur la page officielle de la Présidence de la République du Niger. Retrouvez toute l'actualité de la Présidence sur www.presidence.ne</t>
  </si>
  <si>
    <t>Issoufou Mahamadou</t>
  </si>
  <si>
    <t>https://www.facebook.com/Presidence.du.Niger/</t>
  </si>
  <si>
    <t>Page officielle de la Présidence de la République du Niger.</t>
  </si>
  <si>
    <t>Information</t>
  </si>
  <si>
    <t>Niger, Niamey, Niger</t>
  </si>
  <si>
    <t>Muhammadu Buhari</t>
  </si>
  <si>
    <t>MuhammaduBuhari</t>
  </si>
  <si>
    <t>https://www.facebook.com/MuhammaduBuhari/</t>
  </si>
  <si>
    <t>President Muhammadu Buhari</t>
  </si>
  <si>
    <t>SAIBABABUHARI</t>
  </si>
  <si>
    <t>This the official page for President Muhammadu Buhari</t>
  </si>
  <si>
    <t>https://www.facebook.com/SAIBABABUHARI/</t>
  </si>
  <si>
    <t>Ministry of Foreign Affairs, Nigeria</t>
  </si>
  <si>
    <t>Paul Kagame</t>
  </si>
  <si>
    <t>PresidentPaulKagame</t>
  </si>
  <si>
    <t>http://www.paulkagame.com</t>
  </si>
  <si>
    <t>The sacrifice, dedication and patriotism of Rwandans, is what has brought us to where we are today. The road ahead is long and will demand a lot more from us – not less, but I am confident we are up to the task.</t>
  </si>
  <si>
    <t>https://www.facebook.com/PresidentPaulKagame/</t>
  </si>
  <si>
    <t>President Paul Kagame</t>
  </si>
  <si>
    <t>RwandaGov</t>
  </si>
  <si>
    <t>Government of Rwanda</t>
  </si>
  <si>
    <t>http://www.gov.rw</t>
  </si>
  <si>
    <t>The official Facebook page of the Government of Rwanda</t>
  </si>
  <si>
    <t>https://www.facebook.com/RwandaGov/</t>
  </si>
  <si>
    <t>Primature</t>
  </si>
  <si>
    <t>www.primature.gov.rw</t>
  </si>
  <si>
    <t>https://www.facebook.com/www.primature.gov.rw/</t>
  </si>
  <si>
    <t>http://www.minaffet.gov.rw</t>
  </si>
  <si>
    <t>The Official Facebook Page of the Ministry of Foreign Affairs and Cooperation of Rwanda</t>
  </si>
  <si>
    <t>PO Box 179 KIGALI Kigali, Rwanda</t>
  </si>
  <si>
    <t>patrice.trovoada.oficial</t>
  </si>
  <si>
    <t>Patrice Trovoada - São Tomé e Príncipe</t>
  </si>
  <si>
    <t>Página Oficial de Patrice Trovoada.</t>
  </si>
  <si>
    <t>https://www.facebook.com/patrice.trovoada.oficial/</t>
  </si>
  <si>
    <t>Miguel Trovoada e Maria Helena Trovoada</t>
  </si>
  <si>
    <t>Literatura, Escrever, estar com a família, Política, Arte e Cultura de São Tomé e Príncipe, Gastronomia santomense, música, cinema, desporto.</t>
  </si>
  <si>
    <t>São Tomé e Príncipe</t>
  </si>
  <si>
    <t>Prime Minister Patrice Trovoada</t>
  </si>
  <si>
    <t>Macky SALL</t>
  </si>
  <si>
    <t>Page Officielle du Président de la République du Sénégal</t>
  </si>
  <si>
    <t>prmackysall</t>
  </si>
  <si>
    <t>www.presidence.sn</t>
  </si>
  <si>
    <t>https://www.facebook.com/prmackysall/</t>
  </si>
  <si>
    <t>Président de la République du Sénégal</t>
  </si>
  <si>
    <t>Téléphone</t>
  </si>
  <si>
    <t>Fatick</t>
  </si>
  <si>
    <t>President Macky Sall</t>
  </si>
  <si>
    <t>http://www.presidence.sn</t>
  </si>
  <si>
    <t>State House Seychelles</t>
  </si>
  <si>
    <t>http://twitter.com/StateHouseSey http://www.statehouse.gov.sc</t>
  </si>
  <si>
    <t>https://www.facebook.com/StateHouseSey/</t>
  </si>
  <si>
    <t>Victoria, Seychelles</t>
  </si>
  <si>
    <t>President Ernest Bai Koroma</t>
  </si>
  <si>
    <t>Villa Somalia</t>
  </si>
  <si>
    <t>Community</t>
  </si>
  <si>
    <t>Prime Minister Abdiweli Sheikh Ahmed</t>
  </si>
  <si>
    <t>The Presidency of the Republic of South Africa</t>
  </si>
  <si>
    <t>www.thepresidency.gov.za</t>
  </si>
  <si>
    <t>In the interests of good governance and transparency we aim to provide you with as much up-to-date information as possible on The Presidency, the President, the Deputy President and the Ministers in The Presidency.</t>
  </si>
  <si>
    <t>https://www.facebook.com/PresidencyZA/</t>
  </si>
  <si>
    <t>South African Government</t>
  </si>
  <si>
    <t>http://www.gov.za</t>
  </si>
  <si>
    <t>This page contains information on the South African Government's activities. Visit www.gov.za for more information</t>
  </si>
  <si>
    <t>https://www.facebook.com/GovernmentZA/</t>
  </si>
  <si>
    <t>South Africa: A better place to live in</t>
  </si>
  <si>
    <t>sanewsgovza</t>
  </si>
  <si>
    <t>South African Government News</t>
  </si>
  <si>
    <t>http://www.sanews.gov.za/</t>
  </si>
  <si>
    <t>South African Government News stories</t>
  </si>
  <si>
    <t>https://www.facebook.com/sanewsgovza/</t>
  </si>
  <si>
    <t>DIRCOza</t>
  </si>
  <si>
    <t>Department of International Relations and Cooperation, SA</t>
  </si>
  <si>
    <t>This is the official Facebook page for the Department of International Relations and Cooperation, Republic of South Africa.</t>
  </si>
  <si>
    <t>https://www.facebook.com/DIRCOza/</t>
  </si>
  <si>
    <t>We are committed to promoting South Africa’s national interests and values, the African Renaissance and the creation of a better world for all.</t>
  </si>
  <si>
    <t>012 351 1000</t>
  </si>
  <si>
    <t>GOSS | Government of Southern Sudan</t>
  </si>
  <si>
    <t>http://www.goss.org.za</t>
  </si>
  <si>
    <t>A project oriented office, responsible for facilitating interactions between institutions in Southern Sudan requiring institutional strengthening tools and Governments as well as counterpart institutions in the region of Southern Africa</t>
  </si>
  <si>
    <t>https://www.facebook.com/GOSS-Government-of-Southern-Sudan-292935125286/</t>
  </si>
  <si>
    <t>“establish, develop and maintain good relations and cooperation with foreign governments, Foreign Non-governmental organizations and associations for mutual advantage in trade, investment, culture, sports, education, credit, loans, grants, technical assistance and other fields of development Cooperation.”</t>
  </si>
  <si>
    <t>Dormant since 28.02.2012</t>
  </si>
  <si>
    <t>mfa.gov.sd</t>
  </si>
  <si>
    <t>وزارة الخارجية السودانية</t>
  </si>
  <si>
    <t>http://www.mfa.gov.sd</t>
  </si>
  <si>
    <t>https://www.facebook.com/mfa.gov.sd/</t>
  </si>
  <si>
    <t>President Faure Gnassingbe</t>
  </si>
  <si>
    <t>Lomé, Togo</t>
  </si>
  <si>
    <t>REPUBLIC OF TOGO</t>
  </si>
  <si>
    <t>http://republicoftogo.com</t>
  </si>
  <si>
    <t>https://www.facebook.com/REPUBLIC-OF-TOGO-6683533941/</t>
  </si>
  <si>
    <t>Prof. Robert Dussey</t>
  </si>
  <si>
    <t>Cette page Facebook est destinée au partage d'informations concernant la diplomatie togolaise. Il s'agit de la page officielle du Prof. Robert Dussey.</t>
  </si>
  <si>
    <t>https://www.facebook.com/rdussey/</t>
  </si>
  <si>
    <t>Foreign Minister Robert Dussey</t>
  </si>
  <si>
    <t>Beji Caid Essebsi - الباجي قائد السبسي</t>
  </si>
  <si>
    <t>https://www.facebook.com/BejiCEOfficial/</t>
  </si>
  <si>
    <t>President Béji Caid Essebsi</t>
  </si>
  <si>
    <t>Presidence.tn</t>
  </si>
  <si>
    <t>Présidence Tunisie رئاسة الجمهورية التونسية</t>
  </si>
  <si>
    <t>www.carthage.tn</t>
  </si>
  <si>
    <t>الصفحة الرسمية لرئاسة الجمهورية التونسية</t>
  </si>
  <si>
    <t>https://www.facebook.com/Presidence.tn/</t>
  </si>
  <si>
    <t>رئاسة الجمهورية التونسية</t>
  </si>
  <si>
    <t>قصر قرطاج الرئاسة</t>
  </si>
  <si>
    <t>Avenue de la Ligue des Etats arabes, 1030 Tunis, Tunisia</t>
  </si>
  <si>
    <t>PresidentYoweriKagutaMuseveni</t>
  </si>
  <si>
    <t>Yoweri Kaguta Museveni</t>
  </si>
  <si>
    <t>http://www.yowerikmuseveni.com</t>
  </si>
  <si>
    <t>Yoweri Kaguta Museveni, President Of The Republic Of Uganda</t>
  </si>
  <si>
    <t>https://www.facebook.com/PresidentYoweriKagutaMuseveni/</t>
  </si>
  <si>
    <t>Government Of Uganda</t>
  </si>
  <si>
    <t>President Yoweri Museveni</t>
  </si>
  <si>
    <t>State House Uganda</t>
  </si>
  <si>
    <t>statehouseug</t>
  </si>
  <si>
    <t>http://www.statehouse.go.ug</t>
  </si>
  <si>
    <t>https://www.facebook.com/statehouseug/</t>
  </si>
  <si>
    <t>P. Of. Box 25497,, 256 Kampala, Uganda</t>
  </si>
  <si>
    <t>RT Hon. Dr. Ruhakana Rugunda</t>
  </si>
  <si>
    <t>https://twitter.com/RuhakanaR</t>
  </si>
  <si>
    <t>https://www.facebook.com/RT-Hon-Dr-Ruhakana-Rugunda-1577972009097699/</t>
  </si>
  <si>
    <t>Prime Minister Ruhakana Rugunda</t>
  </si>
  <si>
    <t>opmuganda</t>
  </si>
  <si>
    <t>Office of the Prime Minister</t>
  </si>
  <si>
    <t>www.opm.go.ug</t>
  </si>
  <si>
    <t>Vision - A Public Sector that is responsive and accountable in steering Uganda towards rapid economic growth and development.</t>
  </si>
  <si>
    <t>https://www.facebook.com/opmuganda/</t>
  </si>
  <si>
    <t>The Office of the Prime Minister has played a key role in the socio-economic development of Uganda from 1962 when Uganda gained independence. The Office, now held by Uganda's tenth Prime Minister, Rt. Hon. Amama Mbabazi, is the leader of Government business and is responsible for ensuring effective and efficient implementation of government business and for performance assessment in the public and private sectors.</t>
  </si>
  <si>
    <t>To instil and maintain efficient and effective systems in Government that enable Uganda to develop rapidly</t>
  </si>
  <si>
    <t>PO Box 341 Kampala, Uganda</t>
  </si>
  <si>
    <t>Uganda Media Centre</t>
  </si>
  <si>
    <t>UgandaMediaCentre</t>
  </si>
  <si>
    <t>http://www.mediacentre.go.ug/</t>
  </si>
  <si>
    <t>https://www.facebook.com/UgandaMediaCentre/</t>
  </si>
  <si>
    <t>MOFA.Uganda</t>
  </si>
  <si>
    <t>Ministry of Foreign Affairs, Republic of Uganda</t>
  </si>
  <si>
    <t>http://www.mofa.go.ug</t>
  </si>
  <si>
    <t>Welcome to the facebook page of the Ministry of Foreign Affairs of the Republic of Uganda. You can find more information by visiting www.mofa.go.ug. The Ministry of Foreign Affairs reserves the right to delete inappropriate comments.</t>
  </si>
  <si>
    <t>https://www.facebook.com/MOFA.Uganda/</t>
  </si>
  <si>
    <t>The Ministry of Foreign Affairs and its Missions abroad have and continue to implement Uganda’s Foreign Policy through: Promoting Regional and International Peace and Security; Commercial Diplomacy; Regional Integration; Implementing and Reporting Obligations on International Treaties and Conventions; Mobilizing Bilateral and Multilateral Resources for Development; Providing Protocol and Consular services to Ugandans and foreign dignitaries as well as enhancing Uganda’s image abroad through Public Diplomacy.</t>
  </si>
  <si>
    <t>2A/B Apollo Kaggwa Road, 7048, Kampala Kampala, Uganda</t>
  </si>
  <si>
    <t>EdgarChagwaLungu</t>
  </si>
  <si>
    <t>Official page of President Edgar Chagwa Lungu, Republic of Zambia</t>
  </si>
  <si>
    <t>11TH NOVEMBER 1956</t>
  </si>
  <si>
    <t>https://www.facebook.com/EdgarChagwaLungu/</t>
  </si>
  <si>
    <t>President Edgar Lungu</t>
  </si>
  <si>
    <t>statehousepressofficezambia</t>
  </si>
  <si>
    <t>State House Press Office - Zambia</t>
  </si>
  <si>
    <t>Facebook Page for State House Press Statements - The State House Press Office is one of the offices of Five Special Assistants attending to the Office of the President.</t>
  </si>
  <si>
    <t>https://www.facebook.com/statehousepressofficezambia/</t>
  </si>
  <si>
    <t>Ashraf Ghani</t>
  </si>
  <si>
    <t>ashrafghani.af</t>
  </si>
  <si>
    <t>http://president.gov.af</t>
  </si>
  <si>
    <t>https://www.facebook.com/ashrafghani.af/</t>
  </si>
  <si>
    <t>0783820580, 0799300200</t>
  </si>
  <si>
    <t>Presidential Palace (ARG), Kabul, Afghanistan</t>
  </si>
  <si>
    <t>President Ashraf Ghani</t>
  </si>
  <si>
    <t>ARG - ارگ</t>
  </si>
  <si>
    <t>Official Page for the President of The Islamic Republic of Afghanistan.</t>
  </si>
  <si>
    <t>Kabul, Afghanistan</t>
  </si>
  <si>
    <t>ریاست اجراییه جمهوری اسلامی افغانستان</t>
  </si>
  <si>
    <t>http://www.ceo.gov.af</t>
  </si>
  <si>
    <t>Chief Executive Officer Abdullah Abdullah</t>
  </si>
  <si>
    <t>Dr.AbdullahAbdullah</t>
  </si>
  <si>
    <t>Dr. Abdullah Abdullah</t>
  </si>
  <si>
    <t>Official Facebook page of Dr. Abdullah Abdullah</t>
  </si>
  <si>
    <t>Karte Parwan - Baharestan, Kabul, Afghanistan</t>
  </si>
  <si>
    <t>gmicafghanistan</t>
  </si>
  <si>
    <t>Government Media and Information Center</t>
  </si>
  <si>
    <t>www.gmic.gov.af</t>
  </si>
  <si>
    <t>https://www.facebook.com/gmicafghanistan/</t>
  </si>
  <si>
    <t>GMIC aims at building trust amongst Afghan publics and other stakeholders through provision of timely and accurate information, continuous and consistent information dissemination, facilitation of coordination and information sharing amongst acting agencies in the Afghan government, independent media, and capacity building for Government’s information and communication portals.</t>
  </si>
  <si>
    <t>Our mission is to improve the flow of accurate and timely information from the government to the Afghanistan people. To do this we work on a daily basis with government spokespersons, members of the independent media and with many partners, both Afghan and international.</t>
  </si>
  <si>
    <t>Shah Muhmood Khan Street, Opposite of Ministry of Foreign Affairs, Council of Ministers Building, 25000 Kabul, Afghanistan</t>
  </si>
  <si>
    <t>Salahuddin Rabbani</t>
  </si>
  <si>
    <t>Salahuddin.Rabbani</t>
  </si>
  <si>
    <t>http://www.mujahedweekly.com/sp/spip.php?article1654</t>
  </si>
  <si>
    <t>https://www.facebook.com/Salahuddin.Rabbani/</t>
  </si>
  <si>
    <t>Foreign Minister Salahuddin Rabbani</t>
  </si>
  <si>
    <t>mfa.afghanistan</t>
  </si>
  <si>
    <t>Ministry of Foreign Affairs of Afghanistan (MFA)</t>
  </si>
  <si>
    <t>https://www.facebook.com/mfa.afghanistan/</t>
  </si>
  <si>
    <t>Malik Asghar Square, Kabul, Afghanistan</t>
  </si>
  <si>
    <t>MFA.Armenia</t>
  </si>
  <si>
    <t>http://www.mfa.am</t>
  </si>
  <si>
    <t>Welcome to the official page of the Ministry of Foreign Affairs of the Republic of Armenia.</t>
  </si>
  <si>
    <t>https://www.facebook.com/MFA.Armenia/</t>
  </si>
  <si>
    <t>PresidentIlhamAliyev</t>
  </si>
  <si>
    <t>Ilham Aliyev</t>
  </si>
  <si>
    <t>https://www.facebook.com/PresidentIlhamAliyev/</t>
  </si>
  <si>
    <t>President Ilham Aliyev</t>
  </si>
  <si>
    <t>MFAAzerbaijan</t>
  </si>
  <si>
    <t>http://www.mfa.gov.az/</t>
  </si>
  <si>
    <t>https://www.facebook.com/MFAAzerbaijan/</t>
  </si>
  <si>
    <t>Azərbaycan Respublikasının xarici siyasət fəaliyyətinin əsas istiqamətlərini suverenliyimizin, ərazi bütövlüyümüzün və beynəlxalq səviyyədə tanınmış sərhədlərimizin bərpa edilməsi və qorunması, ölkənin davamlı inkişafı üçün əlverişli xarici mühitin yaradılması, diplomatik vasitələrlə xaricdən olan hədə və təhdidlərin qarşısının alınması, müasir dövrün çağırışlarının çevik və effektiv şəkildə cavablandırılması, dünya birliyi ilə qarşılıqlı faydalı əməkdaşlığın və iqtisadi-ticarət əlaqələrinin genişləndirilməsi, enerji və nəqliyyat strategiyamızın inkişafının dəstəklənməsi, dövlət qurumlarının xarici fəaliyyətinin əlaqələndirilməsi, beynəlxalq səviyyədə Azərbaycan Respublikası vətəndaşlarının hüquqlarının qorunması və təmin edilməsi, ölkəmiz haqqında həqiqətlərin dünya birliyinə çatdırılması və beynəlxalq arenada nüfuzunun artırılması, Azərbaycan xalqının zəngin maddi-mədəni irsinin dünya miqyasında tanıdılması, xaricdə yaşayan həmvətənlərlə əlaqələr, beynəlxalq sülh və təhlükəsizliyə, regional inkişafa və tərəqqiyə, mədəniyyətlər və sivilizasiyalararası dialoq prosesinə töhfə verilməsi və beynəlxalq humanitar layihələrin dəstəklənməsi təşkil edir.</t>
  </si>
  <si>
    <t>Şıxəli Qurbanov 50, AZ 1009 Baku, Azerbaijan</t>
  </si>
  <si>
    <t>Royal Court</t>
  </si>
  <si>
    <t>bahrain.bh</t>
  </si>
  <si>
    <t>Muharraq</t>
  </si>
  <si>
    <t>a2iBangladesh</t>
  </si>
  <si>
    <t>http://a2i.pmo.gov.bd/</t>
  </si>
  <si>
    <t>It’s your right to know what we are doing for people!</t>
  </si>
  <si>
    <t>https://www.facebook.com/a2iBangladesh/</t>
  </si>
  <si>
    <t>Access to Information (a2i) Programme is an UNDP and USAID supported project (programme) having its office at the Prime Ministers’ Office. The overall objective of the project is to provide support in building a digital nation through delivering services at the citizen’s doorsteps. The programme aims to improve quality, widen access, and decentralize delivery of public services to ensure responsiveness and transparency. - See more at: http://www.a2i.gov.bd/content/introduction-a2i#sthash.cZmpRIxt.dpuf</t>
  </si>
  <si>
    <t>Prime Minister's Office, 1215 Dhaka</t>
  </si>
  <si>
    <t>mofabdpage</t>
  </si>
  <si>
    <t>https://www.facebook.com/mofabdpage/</t>
  </si>
  <si>
    <t>KingJigmeKhesar</t>
  </si>
  <si>
    <t>His Majesty King Jigme Khesar Namgyel Wangchuck</t>
  </si>
  <si>
    <t>Monarch</t>
  </si>
  <si>
    <t>https://www.facebook.com/KingJigmeKhesar/</t>
  </si>
  <si>
    <t>King Jigme Khesar Namgyel Wangchuck</t>
  </si>
  <si>
    <t>Tshering Tobgay</t>
  </si>
  <si>
    <t>http://www.tsheringtobgay.com/</t>
  </si>
  <si>
    <t>https://www.facebook.com/tsheringtobgay/</t>
  </si>
  <si>
    <t>Gyalyong Tshokhang, 1011 Thimphu, Bhutan</t>
  </si>
  <si>
    <t>Prime Minister Tshering Tobgay</t>
  </si>
  <si>
    <t>http://www.cabinet.gov.bt/</t>
  </si>
  <si>
    <t>Gyalyong Tshogkhang, Thimphu, Bhutan</t>
  </si>
  <si>
    <t>bhutan.gov.bt</t>
  </si>
  <si>
    <t>Royal Government of Bhutan</t>
  </si>
  <si>
    <t>http://www.cabinet.gov.bt</t>
  </si>
  <si>
    <t>RGoB</t>
  </si>
  <si>
    <t>The Office of the Prime Minister in association with DITT, MoIC</t>
  </si>
  <si>
    <t>https://www.facebook.com/bhutan.gov.bt/</t>
  </si>
  <si>
    <t>About us page!</t>
  </si>
  <si>
    <t>00975-336667</t>
  </si>
  <si>
    <t>11001 Thimphu, Bhutan</t>
  </si>
  <si>
    <t>PMOBhutan</t>
  </si>
  <si>
    <t>bnpmo</t>
  </si>
  <si>
    <t>Prime Minister's Office of Brunei Darussalam</t>
  </si>
  <si>
    <t>www.pmo.gov.bn</t>
  </si>
  <si>
    <t>Vision: Excellent Leadership and Good Governance for National Prosperity and Stability.</t>
  </si>
  <si>
    <t>https://www.facebook.com/bnpmo/</t>
  </si>
  <si>
    <t>To enhance the effectiveness of executive decision-making by the Government of His Majesty in the pursuit of excellent leadership and good governance for national security and sustainable development. This will be done in the context of the philosophy of the Malay Muslim Monarchy ('MIB').</t>
  </si>
  <si>
    <t>Brunei</t>
  </si>
  <si>
    <t>GOVBN</t>
  </si>
  <si>
    <t>http://www.gov.bn</t>
  </si>
  <si>
    <t>Samdech Hun Sen, Cambodian Prime Minister</t>
  </si>
  <si>
    <t>Cambodian Prime Minister Hun Sen is currently the longest serving leader in South East Asia and is one of the longest serving prime ministers in the world, having been in power through various coalitions since 1985.</t>
  </si>
  <si>
    <t>Prime Minister Hun Sen</t>
  </si>
  <si>
    <t>mfaic.gov.kh</t>
  </si>
  <si>
    <t>Ministry of Foreign Affairs and International Cooperation - MFA.IC</t>
  </si>
  <si>
    <t>http://mfaic.gov.kh/</t>
  </si>
  <si>
    <t>The Royal Government of Cambodia</t>
  </si>
  <si>
    <t>https://www.facebook.com/mfaic.gov.kh/</t>
  </si>
  <si>
    <t>MFA.IC responsible for representing Cambodia to the international community. The ministry oversees the foreign relations of Cambodia, maintains diplomatic missions in other countries, and provides visa services.</t>
  </si>
  <si>
    <t>Dili, Timor-Leste</t>
  </si>
  <si>
    <t>President of Georgia Giorgi Margvelashvili was elected on October 27, 2013 with more than 62% of the vote</t>
  </si>
  <si>
    <t>Giorgi Margvelashvili</t>
  </si>
  <si>
    <t>President of Georgia - Giorgi Margvelashvili</t>
  </si>
  <si>
    <t>მ.აბდუშელიშვილის ქ. #1, 0103 Tbilisi, Georgia</t>
  </si>
  <si>
    <t>President Giorgi Margvelashvili</t>
  </si>
  <si>
    <t>GeorgianGovernment</t>
  </si>
  <si>
    <t>საქართველოს მთავრობა | Government of Georgia</t>
  </si>
  <si>
    <t>საქართველოს მთავრობის ოფიციალური გვერდი</t>
  </si>
  <si>
    <t>https://www.facebook.com/GeorgianGovernment/</t>
  </si>
  <si>
    <t>299 09 00</t>
  </si>
  <si>
    <t>Ingorokva str. 7, 0114 Tbilisi, Georgia</t>
  </si>
  <si>
    <t>mfageorgia</t>
  </si>
  <si>
    <t>http://twitter.com/MFAgovge; http://youtube.com/MFAGEO;</t>
  </si>
  <si>
    <t>საქართველოს საგარეო საქმეთა სამინისტროს ოფიციალური საიტი: www.mfa.gov.ge</t>
  </si>
  <si>
    <t>https://www.facebook.com/mfageorgia/</t>
  </si>
  <si>
    <t>საგარეო საქმეთა სამინისტრო ემსახურება საქართველოს ეროვნულ ინტერესებსა და ფასეულობებს, რომლებიც განსაზღვრავენ ჩვენი საგარეო პოლიტიკის უმთავრეს მიზანს - საქართველოს უსაფრთხოებისა და საერთაშორისო სტატუსის განმტკიცებას, საერთაშორისო ურთიერთობათა სისტემაში კუთვნილი და ღირსეული ადგილის დაკავებას და, მზარდი გლობალიზაციის პირობებში, ქვეყნის ინტერესების გატარებას.</t>
  </si>
  <si>
    <t>4, Chitadze Str., 0118 Tbilisi, Georgia</t>
  </si>
  <si>
    <t>Narendra Modi</t>
  </si>
  <si>
    <t>http://www.narendramodi.in</t>
  </si>
  <si>
    <t>https://www.facebook.com/narendramodi/</t>
  </si>
  <si>
    <t>Prime Minister Narendra Modi</t>
  </si>
  <si>
    <t>PMO India</t>
  </si>
  <si>
    <t>https://www.facebook.com/PMOIndia/</t>
  </si>
  <si>
    <t>Sushma Swaraj</t>
  </si>
  <si>
    <t>SushmaSwarajBJP</t>
  </si>
  <si>
    <t>http://www.bjp.org</t>
  </si>
  <si>
    <t>I am the External Affairs Minister of India. Having contested 11 direct elections from four states of India, I have been a Member of Parliament / Legislator for over 35 years. I am also a former Union Cabinet Minister of India and a former Chief Minister of Delhi. I became India’s youngest Cabinet Minister at 25 years of age in 1977.</t>
  </si>
  <si>
    <t>https://www.facebook.com/SushmaSwarajBJP/</t>
  </si>
  <si>
    <t>Bharatiya Janata Party</t>
  </si>
  <si>
    <t>(011) 3794344</t>
  </si>
  <si>
    <t>Foreign Minister Sushma Swaraj</t>
  </si>
  <si>
    <t>MEAINDIA</t>
  </si>
  <si>
    <t>www.mea.gov.in</t>
  </si>
  <si>
    <t>https://www.facebook.com/MEAINDIA/</t>
  </si>
  <si>
    <t>Presiden Joko Widodo</t>
  </si>
  <si>
    <t>Akun Resmi Presiden Republik Indonesia</t>
  </si>
  <si>
    <t>President Joko Widodo</t>
  </si>
  <si>
    <t>Istana untuk Rakyat</t>
  </si>
  <si>
    <t>IstanaUntukRakyat</t>
  </si>
  <si>
    <t>https://twitter.com/IstanaRakyat</t>
  </si>
  <si>
    <t>Fan page resmi Istana untuk Rakyat. Sebuah wahana komunikasi dan berbagi informasi dari Istana Kepresidenan untuk mendekatkan rakyat dengan istananya.</t>
  </si>
  <si>
    <t>https://www.facebook.com/IstanaUntukRakyat/</t>
  </si>
  <si>
    <t>Jl.Medan Merdeka Utara, Jakarta, Indonesia 10110</t>
  </si>
  <si>
    <t>Setkabgoid</t>
  </si>
  <si>
    <t>Setkab RI</t>
  </si>
  <si>
    <t>http://www.setkab.go.id</t>
  </si>
  <si>
    <t>https://www.facebook.com/Setkabgoid/</t>
  </si>
  <si>
    <t>Sekretariat Kabinet RI (Setkab) adalah sebuah Lembaga Pemerintah yang berkedudukan di bawah dan bertanggung jawab langsung kepada Presiden serta dipimpin oleh Sekretaris Kabinet. Sekretariat Kabinet mempunyai tugas memberikan dukungan teknis dan administrasi serta analisis kepada Presiden dan Wakil Presiden dalam menyelenggarakan kekuasaan pemerintah, pemantauan dan evaluasi pelaksanaan kebijakan dan program pemerintah, penyiapan rancangan Peraturan Presiden, Keputusan Presiden, dan Instruksi Presiden, penyiapkan penyelenggaraan sidang kabinet, serta pengangkatan dan pemberhentian dalam jabatan pemerintah dan kepangkatan Pegawai Negeri Sipil yang kewenangannya berada di tangan Presiden dan Pegawai Negeri Sipil di lingkungan Sekretariat Kabinet.</t>
  </si>
  <si>
    <t>http://setkab.go.id/profil-kabinet.html</t>
  </si>
  <si>
    <t>Jakarta, Indonesia</t>
  </si>
  <si>
    <t>Kemlu.RI</t>
  </si>
  <si>
    <t>Kementerian Luar Negeri RI</t>
  </si>
  <si>
    <t>https://www.facebook.com/Kemlu.RI/</t>
  </si>
  <si>
    <t>(+62 21) 344 15 08</t>
  </si>
  <si>
    <t>Taman Pejambon no.6, Jakarta, Indonesia 10110</t>
  </si>
  <si>
    <t>MoFA of Indonesia</t>
  </si>
  <si>
    <t>http://www.kemlu.go.id</t>
  </si>
  <si>
    <t>https://www.facebook.com/MoFA-of-Indonesia-134183339948571/</t>
  </si>
  <si>
    <t>Khamenei.ir</t>
  </si>
  <si>
    <t>www.Khamenei.ir</t>
  </si>
  <si>
    <t>https://www.facebook.com/www.Khamenei.ir/</t>
  </si>
  <si>
    <t>Ayatollah Seyyed Ali Khamenei</t>
  </si>
  <si>
    <t>https://www.facebook.com/ar.khamenei/</t>
  </si>
  <si>
    <t>ar.khamenei</t>
  </si>
  <si>
    <t>http://arabic.khamenei.ir/</t>
  </si>
  <si>
    <t>rouhani.ir</t>
  </si>
  <si>
    <t>صفحه رسمی دکتر حسن روحانی</t>
  </si>
  <si>
    <t>http://rouhani.ir</t>
  </si>
  <si>
    <t>https://www.facebook.com/rouhani.ir/</t>
  </si>
  <si>
    <t>Tehran, Iran</t>
  </si>
  <si>
    <t>Hassan Rouhani</t>
  </si>
  <si>
    <t>Pres.Rouhani</t>
  </si>
  <si>
    <t>Hassan Rouhani’s page, President of Islamic Republic of Iran</t>
  </si>
  <si>
    <t>https://www.facebook.com/Pres.Rouhani/</t>
  </si>
  <si>
    <t>President Hassan Rouhani</t>
  </si>
  <si>
    <t>Javad Zarif</t>
  </si>
  <si>
    <t>jzarif</t>
  </si>
  <si>
    <t>https://www.facebook.com/jzarif/</t>
  </si>
  <si>
    <t>Iranian Foreign Minister</t>
  </si>
  <si>
    <t>Foreign Minister Javad Zarif</t>
  </si>
  <si>
    <t>MinistryofForeignAffairsofI.R.Iran</t>
  </si>
  <si>
    <t>Ministry of Foreign Affairs of Islamic Republic of Iran</t>
  </si>
  <si>
    <t>http://www.mfa.gov.ir</t>
  </si>
  <si>
    <t>https://www.facebook.com/MinistryofForeignAffairsofI.R.Iran/</t>
  </si>
  <si>
    <t>Ayatolá Jamenei</t>
  </si>
  <si>
    <t>https://www.facebook.com/Khamenei.Es/</t>
  </si>
  <si>
    <t>Khamenei.Es</t>
  </si>
  <si>
    <t>http://spanish.khamenei.ir</t>
  </si>
  <si>
    <t>Síguenos por las actualizaciones regulares y noticias sobre el Ayatolá Seyyed Ali Jamenei, el Líder Supremo de la República Islámica de Irán.</t>
  </si>
  <si>
    <t>Haider Al-Abadi</t>
  </si>
  <si>
    <t>https://twitter.com/HaiderAlAbadi</t>
  </si>
  <si>
    <t>Prime Minister Haider Al-Abadi</t>
  </si>
  <si>
    <t>IraqPMMediaOffice</t>
  </si>
  <si>
    <t>المكتب الاعلامي لرئيس الوزراء</t>
  </si>
  <si>
    <t>http://www.pmo.iq/</t>
  </si>
  <si>
    <t>الصفحة الرسمية للمكتب الاعلامي للسيد رئيس مجلس الوزراء العراقي الدكتور حيدر العبادي.</t>
  </si>
  <si>
    <t>https://www.facebook.com/IraqPMMediaOffice/</t>
  </si>
  <si>
    <t>dr.aljaffaary</t>
  </si>
  <si>
    <t>إبراهيم الأشيقر الجعفري</t>
  </si>
  <si>
    <t>http://www.al-jaffaary.net</t>
  </si>
  <si>
    <t>https://www.facebook.com/dr.aljaffaary/</t>
  </si>
  <si>
    <t>الإسلام</t>
  </si>
  <si>
    <t>alkareeda, 10069 Baghdad, Iraq</t>
  </si>
  <si>
    <t>ReuvenRivlin</t>
  </si>
  <si>
    <t>Reuven Ruvi Rivlin - ראובן רובי ריבלין</t>
  </si>
  <si>
    <t>http://www.president.gov.il/</t>
  </si>
  <si>
    <t>https://www.facebook.com/ReuvenRivlin/</t>
  </si>
  <si>
    <t>02-6707211</t>
  </si>
  <si>
    <t>Jerusalem, Israel</t>
  </si>
  <si>
    <t>President Reuven Rivlin</t>
  </si>
  <si>
    <t>Netanyahu</t>
  </si>
  <si>
    <t>Benjamin Netanyahu - בנימין נתניהו</t>
  </si>
  <si>
    <t>http://www.netanyahu.org.il/ likud.org.il</t>
  </si>
  <si>
    <t>עמוד הפייסבוק הרשמי של בנימין נתניהו, ראש הממשלה ויו"ר "הליכוד".</t>
  </si>
  <si>
    <t>https://www.facebook.com/Netanyahu/</t>
  </si>
  <si>
    <t>Prime Minister Benjamin Netanyahu</t>
  </si>
  <si>
    <t>The Prime Minister of Israel</t>
  </si>
  <si>
    <t>http://www.pmo.gov.il/English</t>
  </si>
  <si>
    <t>Welcome to the Israeli Prime Minister’s Office Facebook Page!</t>
  </si>
  <si>
    <t>https://www.facebook.com/IsraeliPM/</t>
  </si>
  <si>
    <t>This is the official Facebook page of the Office of the Prime Minister of Israel.</t>
  </si>
  <si>
    <t>3 Kaplan Street, 91919 Jerusalem, Israel</t>
  </si>
  <si>
    <t>Israel Ministry of Foreign Affairs</t>
  </si>
  <si>
    <t>Israel's Ministry of Foreign Affairs is dedicated to promoting diplomatic relations, economic growth and friendship between the State of Israel &amp; the world. www.israel.org</t>
  </si>
  <si>
    <t>https://www.facebook.com/IsraelMFA/</t>
  </si>
  <si>
    <t>9 Sderot Yitshak Rabin, 91035 Jerusalem, Israel</t>
  </si>
  <si>
    <t>ראש ממשלת ישראל</t>
  </si>
  <si>
    <t>HEBPMO</t>
  </si>
  <si>
    <t>ברוכים הבאים לעמוד הרשמי של משרד ראש הממשלה</t>
  </si>
  <si>
    <t>https://www.facebook.com/HEBPMO/</t>
  </si>
  <si>
    <t>IsraeliPM.Arabic</t>
  </si>
  <si>
    <t>رئيس الوزراء الاسرائيلي</t>
  </si>
  <si>
    <t>www.pmo.gov.il/PMOAR</t>
  </si>
  <si>
    <t>أهلاً وسهلاً بكم في الصفحة الرسمية لرئيس الوزراء بنيامين نتنياهو باللغة العربية.</t>
  </si>
  <si>
    <t>https://www.facebook.com/IsraeliPM.Arabic/</t>
  </si>
  <si>
    <t>شارع كابلان 3, 91919 Jerusalem, Israel</t>
  </si>
  <si>
    <t>JapanGov</t>
  </si>
  <si>
    <t>Japan - The Government of Japan</t>
  </si>
  <si>
    <t>https://www.facebook.com/JapanGov/</t>
  </si>
  <si>
    <t>永田町1-6-1, Chiyoda-ku, Tokyo, Japan 100-8968</t>
  </si>
  <si>
    <t>首相官邸</t>
  </si>
  <si>
    <t>sourikantei</t>
  </si>
  <si>
    <t>首相官邸の公式Facebookページです。</t>
  </si>
  <si>
    <t>https://www.facebook.com/sourikantei/</t>
  </si>
  <si>
    <t>Japan.PMO</t>
  </si>
  <si>
    <t>Prime Minister's Office of Japan</t>
  </si>
  <si>
    <t>https://www.facebook.com/Japan.PMO/</t>
  </si>
  <si>
    <t>1-6-1 Nagata-cho, 100-8968</t>
  </si>
  <si>
    <t>外務省</t>
  </si>
  <si>
    <t>Mofa.Japan</t>
  </si>
  <si>
    <t>このアカウントは外務省のfacebook公式ページです。外務省ホームページの新着情報を中心に情報を発信しています。</t>
  </si>
  <si>
    <t>1869年（明治2年）</t>
  </si>
  <si>
    <t>https://www.facebook.com/Mofa.Japan/</t>
  </si>
  <si>
    <t>平和で安全な国際社会の維持に寄与するとともに主体的かつ積極的な取組を通じて良好な国際環境の整備を図ること並びに調和ある対外関係を維持し発展させつつ、国際社会における日本国及び日本国民の利益の増進を図ること（外務省設置法より抜粋）。</t>
  </si>
  <si>
    <t>Mofa.Japan.en</t>
  </si>
  <si>
    <t>Ministry of Foreign Affairs of Japan</t>
  </si>
  <si>
    <t>http://www.mofa.go.jp/ http://twitter.com/#!/MofaJapan_en</t>
  </si>
  <si>
    <t>Welcome to the official Facebook page of the Ministry of Foreign Affairs of Japan,delivering our latest news. You can find further information on our website at http://www.mofa.go.jp/</t>
  </si>
  <si>
    <t>https://www.facebook.com/Mofa.Japan.en/</t>
  </si>
  <si>
    <t>Queen Rania</t>
  </si>
  <si>
    <t>http://www.queenrania.jo</t>
  </si>
  <si>
    <t>https://www.facebook.com/QueenRania/</t>
  </si>
  <si>
    <t>Amman, Jordan</t>
  </si>
  <si>
    <t>https://www.facebook.com/RHCJO/</t>
  </si>
  <si>
    <t>The Royal Hashemite Court</t>
  </si>
  <si>
    <t>د. عبدالله النسور</t>
  </si>
  <si>
    <t>Drensour</t>
  </si>
  <si>
    <t>https://www.facebook.com/Drensour/</t>
  </si>
  <si>
    <t>P.O. Box 1, As Salt, Al Balqa', Jordan 19111</t>
  </si>
  <si>
    <t>Prime Minister Abdullah Ensour</t>
  </si>
  <si>
    <t>PMOJO</t>
  </si>
  <si>
    <t>https://www.facebook.com/PMOJO/</t>
  </si>
  <si>
    <t>JORDAN, Amman, Jordan 11180</t>
  </si>
  <si>
    <t>ForeignMinistryJo</t>
  </si>
  <si>
    <t>https://www.facebook.com/ForeignMinistryJo/</t>
  </si>
  <si>
    <t>Airport Road, Amman, Jordan</t>
  </si>
  <si>
    <t>http://akorda.kz</t>
  </si>
  <si>
    <t>https://www.facebook.com/AkordaPress/</t>
  </si>
  <si>
    <t>Карим Масимов</t>
  </si>
  <si>
    <t>KMassimov</t>
  </si>
  <si>
    <t>https://www.facebook.com/KMassimov/</t>
  </si>
  <si>
    <t>Astana, Kazakhstan, 010000</t>
  </si>
  <si>
    <t>Prime Minister Karim Massimov</t>
  </si>
  <si>
    <t>primeminister.kz</t>
  </si>
  <si>
    <t>https://www.facebook.com/primeminister.kz/</t>
  </si>
  <si>
    <t>Ministry of Foreign Affairs, Republic of Kazakhstan</t>
  </si>
  <si>
    <t>KazakhstanMFA</t>
  </si>
  <si>
    <t>mfa.gov.kz</t>
  </si>
  <si>
    <t>https://www.facebook.com/KazakhstanMFA/</t>
  </si>
  <si>
    <t>The Ministry of Foreign Affairs is responsible for promoting national interests overseas and supporting Kazakhstan citizens and businesses around the globe.</t>
  </si>
  <si>
    <t>31 Kunayev Street, Astana, Kazakhstan, 010000</t>
  </si>
  <si>
    <t>ortcomkz</t>
  </si>
  <si>
    <t>Cоздание эффективного механизма кооперации информационной работы государственных органов, а также создание условий для эффективного взаимодействия государственных органов и СМИ.</t>
  </si>
  <si>
    <t>CentralCommunicationsServiceOfKazakhstan</t>
  </si>
  <si>
    <t>http://ortcom.kz/en</t>
  </si>
  <si>
    <t>Activities of Central Communications Service are aimed at increasing the transparency of government of the Republic of Kazakhstan</t>
  </si>
  <si>
    <t>https://www.facebook.com/CentralCommunicationsServiceOfKazakhstan/</t>
  </si>
  <si>
    <t>Karim Massimov</t>
  </si>
  <si>
    <t>KMassimovE</t>
  </si>
  <si>
    <t>https://www.facebook.com/KMassimovE/</t>
  </si>
  <si>
    <t>Ministry of Foreign Affairs of the State of Kuwait</t>
  </si>
  <si>
    <t>www.mofa.gov.kw www.twitter.com/mofakuwait www.instagram.com/mofakuwait</t>
  </si>
  <si>
    <t>الصفحة الرسمية لوزارة الخارجية - دولة الكويت. The Official Page of Ministry of Foreign Affairs - State of Kuwait</t>
  </si>
  <si>
    <t>https://www.facebook.com/MOFAKuwait/</t>
  </si>
  <si>
    <t>Arabian Gulf Street, 13001 Kuwait City</t>
  </si>
  <si>
    <t>МИД КР</t>
  </si>
  <si>
    <t>pressslujbakg</t>
  </si>
  <si>
    <t>http://www.mfa.gov.kg</t>
  </si>
  <si>
    <t>Министерство иностранных дел Кыргызской Республики</t>
  </si>
  <si>
    <t>https://www.facebook.com/pressslujbakg/</t>
  </si>
  <si>
    <t>GebranBassil</t>
  </si>
  <si>
    <t>جبران باسيل - Gebran Bassil</t>
  </si>
  <si>
    <t>www.gebranbassil.com</t>
  </si>
  <si>
    <t>https://www.facebook.com/GebranBassil/</t>
  </si>
  <si>
    <t>Foreign Minister Gebran Bassil</t>
  </si>
  <si>
    <t>najibrazak</t>
  </si>
  <si>
    <t>Najib Razak</t>
  </si>
  <si>
    <t>http://najibrazak.com/ http://www.youtube.com/NajibRazak http://www.flickr.com/photos/najibrazak http://twitter.com/NajibRazak http://www.pmo.gov.my</t>
  </si>
  <si>
    <t>https://www.facebook.com/najibrazak/</t>
  </si>
  <si>
    <t>Prime Minister Najib Razak</t>
  </si>
  <si>
    <t>Anifah Aman</t>
  </si>
  <si>
    <t>anifahaman2</t>
  </si>
  <si>
    <t>http://www.kln.gov.my</t>
  </si>
  <si>
    <t>Laman Rasmi Menteri Luar Negeri / Minister of Foreign Affairs (Malaysia) / Ahli Parlimen P.176 Kimanis</t>
  </si>
  <si>
    <t>https://www.facebook.com/anifahaman2/</t>
  </si>
  <si>
    <t>Foreign Minister Anifah Aman</t>
  </si>
  <si>
    <t>PresidentYAG</t>
  </si>
  <si>
    <t>Abdulla Yameen Abdul Gayoom</t>
  </si>
  <si>
    <t>http://www.presidencymaldives.gov.mv/</t>
  </si>
  <si>
    <t>President Abdulla Yameen</t>
  </si>
  <si>
    <t>The President's Office</t>
  </si>
  <si>
    <t>www.presidencymaldives.gov.mv</t>
  </si>
  <si>
    <t>Official Facebook page of The President's Office, Republic of Maldives</t>
  </si>
  <si>
    <t>https://www.facebook.com/presidencymv/</t>
  </si>
  <si>
    <t>Ministry of Foreign Affairs - Maldives</t>
  </si>
  <si>
    <t>http://www.foreign.gov.mv</t>
  </si>
  <si>
    <t>Address: Block number 77, Henveiru, Boduthakurufaanu Magu</t>
  </si>
  <si>
    <t>https://www.facebook.com/Ministry-of-Foreign-Affairs-Maldives-434954336556544/</t>
  </si>
  <si>
    <t>Ministry of Foreign Affairs, Male, Maldives</t>
  </si>
  <si>
    <t>Dormant since 24.12.2012</t>
  </si>
  <si>
    <t>Prime Minister Anerood Jugnauth</t>
  </si>
  <si>
    <t>Prime Minister office of Mongolia</t>
  </si>
  <si>
    <t>http://zasag.mn</t>
  </si>
  <si>
    <t>Монгол Улсын Ерөнхий сайдын Ажлын алба</t>
  </si>
  <si>
    <t>https://www.facebook.com/Prime-Minister-office-of-Mongolia-135047926675334/</t>
  </si>
  <si>
    <t>mfamongoliaMN</t>
  </si>
  <si>
    <t>www.mfa.gov.mn</t>
  </si>
  <si>
    <t>https://www.facebook.com/mfamongoliaMN/</t>
  </si>
  <si>
    <t>6226-2222</t>
  </si>
  <si>
    <t>Энх тайвны гудамж-7А,, Улаанбаатар 14210</t>
  </si>
  <si>
    <t>mfamongoliaENG</t>
  </si>
  <si>
    <t>Ministry of Foreign Affairs - Mongolia</t>
  </si>
  <si>
    <t>https://www.facebook.com/mfamongoliaENG/</t>
  </si>
  <si>
    <t>www.zasag.mn</t>
  </si>
  <si>
    <t>Zasag</t>
  </si>
  <si>
    <t>Монгол Улсын Засгийн газар</t>
  </si>
  <si>
    <t>https://www.facebook.com/www.zasag.mn/</t>
  </si>
  <si>
    <t>Government Website</t>
  </si>
  <si>
    <t>myanmarpresidentoffice.gov.mm</t>
  </si>
  <si>
    <t>Myanmar President Office</t>
  </si>
  <si>
    <t>http://www.president-office.gov.mm/zg/</t>
  </si>
  <si>
    <t>Official Page of Myanmar President Office</t>
  </si>
  <si>
    <t>https://www.facebook.com/myanmarpresidentoffice.gov.mm/</t>
  </si>
  <si>
    <t>President House, Nay Pyi Taw</t>
  </si>
  <si>
    <t>aungsansuukyi</t>
  </si>
  <si>
    <t>Aung San Suu Kyi</t>
  </si>
  <si>
    <t>Aung San Suu Kyi is the face of democracy and rights in Burma. After having to spend 15 years in detention, many hope she will one day be elected President</t>
  </si>
  <si>
    <t>https://www.facebook.com/aungsansuukyi/</t>
  </si>
  <si>
    <t>National League for Democracy</t>
  </si>
  <si>
    <t>http://www.mofa.gov.mm</t>
  </si>
  <si>
    <t>MOFANEPAL</t>
  </si>
  <si>
    <t>Ministry of Foreign Affairs, Nepal</t>
  </si>
  <si>
    <t>http://www.mofa.gov.np</t>
  </si>
  <si>
    <t>https://www.facebook.com/MOFANEPAL/</t>
  </si>
  <si>
    <t>mofa.oman</t>
  </si>
  <si>
    <t>http://www.youtube.com/mofaoman http://www.twitter.com/mofaoman</t>
  </si>
  <si>
    <t>وزارة الخارجية العمانية</t>
  </si>
  <si>
    <t>https://www.facebook.com/mofa.oman/</t>
  </si>
  <si>
    <t>pid.gov.official</t>
  </si>
  <si>
    <t>http://pid.gov.pk/</t>
  </si>
  <si>
    <t>The Official news Portal of Pakistan</t>
  </si>
  <si>
    <t>https://www.facebook.com/pid.gov.official/</t>
  </si>
  <si>
    <t>Zero Point, Benovelent Fund Building, Islamabad, Pakistan</t>
  </si>
  <si>
    <t>mofapk</t>
  </si>
  <si>
    <t>Ministry of Foreign Affairs, Pakistan</t>
  </si>
  <si>
    <t>Our foreign policy is one of friendliness and goodwill towards all the nations of the world. (Quaid-e-Azam Muhammad Ali Jinnah)</t>
  </si>
  <si>
    <t>https://www.facebook.com/mofapk/</t>
  </si>
  <si>
    <t>Dormant since 24.11.2014</t>
  </si>
  <si>
    <t>Rami.Hamdalla</t>
  </si>
  <si>
    <t>https://www.facebook.com/Rami.Hamdalla/</t>
  </si>
  <si>
    <t>الصفحة الرسمية</t>
  </si>
  <si>
    <t>Prime Minister Rami Hamdallah</t>
  </si>
  <si>
    <t>GovernmentofPalestine</t>
  </si>
  <si>
    <t>Palestinian Government حكومة دولة فلسطين</t>
  </si>
  <si>
    <t>https://www.facebook.com/GovernmentofPalestine/</t>
  </si>
  <si>
    <t>mofa.pna</t>
  </si>
  <si>
    <t>http://www.mofa.pna.ps</t>
  </si>
  <si>
    <t>https://www.facebook.com/mofa.pna/</t>
  </si>
  <si>
    <t>رام الله-خلف قصر الثقافة-شارع الايام, 1336 Ramallah</t>
  </si>
  <si>
    <t>Prime Minister Peter O'Neill</t>
  </si>
  <si>
    <t>govph</t>
  </si>
  <si>
    <t>Official Gazette of the Republic of the Philippines</t>
  </si>
  <si>
    <t>www.gov.ph</t>
  </si>
  <si>
    <t>The Official Gazette is the official journal of the Republic of the Philippines, edited in the Office of the President of the Philippines.</t>
  </si>
  <si>
    <t>https://www.facebook.com/govph/</t>
  </si>
  <si>
    <t>733-3605</t>
  </si>
  <si>
    <t>dfaphl</t>
  </si>
  <si>
    <t>Department of Foreign Affairs Republic of the Philippines</t>
  </si>
  <si>
    <t>www.dfa.gov.ph</t>
  </si>
  <si>
    <t>https://www.facebook.com/dfaphl/</t>
  </si>
  <si>
    <t>To advance the interests of the Philippines and the Filipino people in the world community</t>
  </si>
  <si>
    <t>https://www.facebook.com/HukoomiQatar/</t>
  </si>
  <si>
    <t>Hukoomi Qatar</t>
  </si>
  <si>
    <t>www.gov.qa</t>
  </si>
  <si>
    <t>http://www.gov.qa</t>
  </si>
  <si>
    <t>saudiportal</t>
  </si>
  <si>
    <t>سعودي Saudi</t>
  </si>
  <si>
    <t>http://www.saudi.gov.sa/</t>
  </si>
  <si>
    <t>بوابة سعودي هي البوابة الوطنية للتعاملات الإلكترونية الحكومية في المملكة العربية السعوديةhttp://www.saudi.gov.sa</t>
  </si>
  <si>
    <t>https://www.facebook.com/saudiportal/</t>
  </si>
  <si>
    <t>Riyadh, Saudi Arabia 11112</t>
  </si>
  <si>
    <t>ksamofa</t>
  </si>
  <si>
    <t>Ministry of Foreign Affairs - Saudi Arabia</t>
  </si>
  <si>
    <t>http://www.mofa.gov.sa</t>
  </si>
  <si>
    <t>اهلا بك في الصفحة الرسمية لوزراة الخارجية في المملكة العربية السعودية</t>
  </si>
  <si>
    <t>تأسست عام 1349هـ</t>
  </si>
  <si>
    <t>https://www.facebook.com/ksamofa/</t>
  </si>
  <si>
    <t>المملكة العربية السعودية, الرياض</t>
  </si>
  <si>
    <t>Lee Hsien Loong</t>
  </si>
  <si>
    <t>http://www.pmo.gov.sg http://www.youtube.com/pmosingapore http://twitter.com/leehsienloong http://instagram.com/leehsienloong</t>
  </si>
  <si>
    <t>On this page I talk about the things I’m doing and thinking about, but I would also like to hear from you, about what we can do together for Singapore.</t>
  </si>
  <si>
    <t>https://www.facebook.com/leehsienloong/</t>
  </si>
  <si>
    <t>Istana, Orchard Road, Singapore 238823</t>
  </si>
  <si>
    <t>Prime Minister Lee Hsien Loong</t>
  </si>
  <si>
    <t>gov.sg</t>
  </si>
  <si>
    <t>Gov.sg</t>
  </si>
  <si>
    <t>http://www.gov.sg</t>
  </si>
  <si>
    <t>Gov.sg - the official FB page of the Singapore government. Your first stop for the very latest policy announcements, information and news on Singapore.</t>
  </si>
  <si>
    <t>https://www.facebook.com/gov.sg/</t>
  </si>
  <si>
    <t>Vivian.Balakrishnan.Sg</t>
  </si>
  <si>
    <t>Vivian Balakrishnan</t>
  </si>
  <si>
    <t>vivian.balakrishnan.sg</t>
  </si>
  <si>
    <t>https://www.facebook.com/Vivian.Balakrishnan.Sg/</t>
  </si>
  <si>
    <t>Foreign Minister Vivian Balakrishnan</t>
  </si>
  <si>
    <t>대한민국 청와대</t>
  </si>
  <si>
    <t>국무조정실·국무총리비서실의 공식 페이스북 페이지입니다. '통(通)하지 않으면 통(痛)한다'는 각오로 대국민 소통의 활시위를 당기겠습니다.</t>
  </si>
  <si>
    <t>https://www.facebook.com/PrimeMinisterKR/</t>
  </si>
  <si>
    <t>044-200-2114</t>
  </si>
  <si>
    <t>mofakr.kr</t>
  </si>
  <si>
    <t>대한민국 외교부 페이스북에 방문해주셔서 감사합니다. 국민 여러분의 소중한 의견에 귀기울이겠습니다.</t>
  </si>
  <si>
    <t>https://www.facebook.com/mofakr.kr/</t>
  </si>
  <si>
    <t>대표전화 : 02-2100-2114 / 대표팩스 : 02-2100-7999</t>
  </si>
  <si>
    <t>https://www.facebook.com/govkorea/</t>
  </si>
  <si>
    <t>mofakr.eng</t>
  </si>
  <si>
    <t>Ministry of Foreign Affairs, Republic of Korea</t>
  </si>
  <si>
    <t>https://www.facebook.com/mofakr.eng/</t>
  </si>
  <si>
    <t>Seoul, Korea</t>
  </si>
  <si>
    <t>Maithripala Sirisena</t>
  </si>
  <si>
    <t>maithripalas</t>
  </si>
  <si>
    <t>http://www.president.gov.lk</t>
  </si>
  <si>
    <t>https://www.facebook.com/maithripalas/</t>
  </si>
  <si>
    <t>Sri Lanka Freedom Party</t>
  </si>
  <si>
    <t>Colombo, Sri Lanka</t>
  </si>
  <si>
    <t>President Maithripala Sirisena</t>
  </si>
  <si>
    <t>Ranil Wickremesinghe</t>
  </si>
  <si>
    <t>ranil.wickremesinghe.leader</t>
  </si>
  <si>
    <t>This is the official Facebook page of Ranil Wickremesinghe, the Prime Minister of Sri Lanka</t>
  </si>
  <si>
    <t>https://www.facebook.com/ranil.wickremesinghe.leader/</t>
  </si>
  <si>
    <t>United National Party</t>
  </si>
  <si>
    <t>Prime Minister Ranil Wickremesinghe</t>
  </si>
  <si>
    <t>Ministry of Foreign Affairs - SRI LANKA</t>
  </si>
  <si>
    <t>Official facebook page of the Ministry of Foreign Affairs, Sri Lanka.</t>
  </si>
  <si>
    <t>SyrianPresidency</t>
  </si>
  <si>
    <t>رئاسة الجمهورية العربية السورية</t>
  </si>
  <si>
    <t>Welcome to the official Facebook page for the Presidency of the Syrian Arab Republic, offering updates on Presidential news and events.</t>
  </si>
  <si>
    <t>https://www.facebook.com/SyrianPresidency/</t>
  </si>
  <si>
    <t>khadamotimatbuot</t>
  </si>
  <si>
    <t>Хадамоти матбуоти Президенти Тоҷикистон</t>
  </si>
  <si>
    <t>http://www.president.tj</t>
  </si>
  <si>
    <t>https://www.facebook.com/khadamotimatbuot/</t>
  </si>
  <si>
    <t>mfa.tj</t>
  </si>
  <si>
    <t>Ministry of Foreign Affairs of the Republic of Tajikistan</t>
  </si>
  <si>
    <t>http://www.mfa.tj/en</t>
  </si>
  <si>
    <t>12 майи соли 1944</t>
  </si>
  <si>
    <t>https://www.facebook.com/mfa.tj/</t>
  </si>
  <si>
    <t>ул. Шероз 33, 734001 Dushanbe, Tajikistan</t>
  </si>
  <si>
    <t>thailandprd</t>
  </si>
  <si>
    <t>http://thailand.prd.go.th</t>
  </si>
  <si>
    <t>The provider of official news and information about Thailand</t>
  </si>
  <si>
    <t>https://www.facebook.com/thailandprd/</t>
  </si>
  <si>
    <t>เว็บไซต์กรมประชาสัมพันธ์ ภาคภาษาอังกฤษ The provider of official news and information about Thailand</t>
  </si>
  <si>
    <t>9 Rama VI Road, Soi 30, Phyathai,, Bangkok, Thailand 10400</t>
  </si>
  <si>
    <t>กระทรวงการต่างประเทศ</t>
  </si>
  <si>
    <t>ThaiMFA</t>
  </si>
  <si>
    <t>https://www.facebook.com/ThaiMFA/</t>
  </si>
  <si>
    <t>HHSheikhMohammed</t>
  </si>
  <si>
    <t>His Highness Sheikh Mohammed bin Rashid Al Maktoum</t>
  </si>
  <si>
    <t>His Highness Sheikh Mohammed is Vice President and Prime Minister of the UAE and Ruler of Dubai</t>
  </si>
  <si>
    <t>https://www.facebook.com/HHSheikhMohammed/</t>
  </si>
  <si>
    <t>Sheikh Mohammed</t>
  </si>
  <si>
    <t>Mofauae</t>
  </si>
  <si>
    <t>وزارة الخارجية - الإمارات العربية المتحدة</t>
  </si>
  <si>
    <t>Official Facebook page of the Ministry of Foreign Affairs - United Arab Emirates , www.mofa.gov.ae/ , www.twitter.com/mofauae</t>
  </si>
  <si>
    <t>https://www.facebook.com/Mofauae/</t>
  </si>
  <si>
    <t>Crown Prince Mohammed bin Zayed Al Nahyan</t>
  </si>
  <si>
    <t>UAEmGov</t>
  </si>
  <si>
    <t>http://government.ae</t>
  </si>
  <si>
    <t>https://www.facebook.com/UAEmGov/</t>
  </si>
  <si>
    <t>govuz</t>
  </si>
  <si>
    <t>Gov.uz</t>
  </si>
  <si>
    <t>Правительственный портал является официальным государственным информационным ресурсом Правительства Республики Узбекистан</t>
  </si>
  <si>
    <t>https://www.facebook.com/govuz/</t>
  </si>
  <si>
    <t>Информационное сопровождение и структурное администрирование Правительственного портала осуществляется Группой информационного обеспечения и развития Правительственного портала Республики Узбекистан при Центре развития и внедрения компьютерных и информационных технологий UZINFOCOM.</t>
  </si>
  <si>
    <t>Правительственный портал Республики Узбекистан является официальным государственным информационным ресурсом Правительства Республики Узбекистан в сети Интернет.</t>
  </si>
  <si>
    <t>Обеспечение информированности населения Республики Узбекистан и международной общественности о деятельности Правительства Республики Узбекистан, о проводимых реформах в общественно-политической и социально-экономической жизни республики путем создания и размещения соответствующих информационных ресурсов</t>
  </si>
  <si>
    <t>Edi Rama</t>
  </si>
  <si>
    <t>edirama.al</t>
  </si>
  <si>
    <t>Edi Rama, Kryeministër i Republikës së Shqipërisë prej Shtatorit 2013</t>
  </si>
  <si>
    <t>https://www.facebook.com/edirama.al/</t>
  </si>
  <si>
    <t>Partia Socialiste e Shqipërisë, Sheshi Austria, nr. 91, 1001 Tirana, Albania</t>
  </si>
  <si>
    <t>Prime Minister Edi Rama</t>
  </si>
  <si>
    <t>Ditmir Bushati</t>
  </si>
  <si>
    <t>http://ditmirbushati.al/</t>
  </si>
  <si>
    <t>Foreign Minister Ditmir Bushati</t>
  </si>
  <si>
    <t>http://www.punetejashtme.gov.al</t>
  </si>
  <si>
    <t>govern.ad</t>
  </si>
  <si>
    <t>Govern d'Andorra</t>
  </si>
  <si>
    <t>http://www.govern.ad</t>
  </si>
  <si>
    <t>Facebook del Govern d'Andorra</t>
  </si>
  <si>
    <t>https://www.facebook.com/govern.ad/</t>
  </si>
  <si>
    <t>00376-875700</t>
  </si>
  <si>
    <t>Sebastian Kurz</t>
  </si>
  <si>
    <t>sebastiankurz.at</t>
  </si>
  <si>
    <t>http://www.sebastian-kurz.at</t>
  </si>
  <si>
    <t>https://www.facebook.com/sebastiankurz.at/</t>
  </si>
  <si>
    <t>Aussenministerium</t>
  </si>
  <si>
    <t>Österreichisches Außenministerium</t>
  </si>
  <si>
    <t>www.bmeia.gv.at</t>
  </si>
  <si>
    <t>Herzlich willkommen auf der Seite des österreichischen Bundesministeriums für Europa, Integration und Äußeres.</t>
  </si>
  <si>
    <t>https://www.facebook.com/Aussenministerium/</t>
  </si>
  <si>
    <t>BeMonarchie</t>
  </si>
  <si>
    <t>Belgische Monarchie Monarchie belge Belgian Monarchy</t>
  </si>
  <si>
    <t>http://www.monarchie.be</t>
  </si>
  <si>
    <t>https://www.facebook.com/BeMonarchie/</t>
  </si>
  <si>
    <t>Charles MICHEL</t>
  </si>
  <si>
    <t>http://www.premier.be</t>
  </si>
  <si>
    <t>Prime Minister Charles Michel</t>
  </si>
  <si>
    <t>http://www.didierreynders.be</t>
  </si>
  <si>
    <t>Avenue des Aubépines, 7, 1180 Uccle, Belgium</t>
  </si>
  <si>
    <t>Didier Reynders</t>
  </si>
  <si>
    <t>Foreign Minister Didier Reynders</t>
  </si>
  <si>
    <t>Diplomatie.Belgium</t>
  </si>
  <si>
    <t>http://diplomatie.belgium.be</t>
  </si>
  <si>
    <t>Karmelietenstraat 15 Rue des Petits Carmes, 1000 Brussels, Belgium</t>
  </si>
  <si>
    <t>Bakir Izetbegović</t>
  </si>
  <si>
    <t>www.bakirizetbegovic.ba</t>
  </si>
  <si>
    <t>https://www.facebook.com/Bakir-Izetbegović-142839432423177/</t>
  </si>
  <si>
    <t>President Bakir Izetbegović</t>
  </si>
  <si>
    <t>Ministry of Foreign Affairs of the Republic of Bulgaria</t>
  </si>
  <si>
    <t>https://www.facebook.com/MFABulgaria/</t>
  </si>
  <si>
    <t>The Bulgarian Ministry of Foreign Affairs is responsible for promoting Bulgaria's interests abroad, by planning and implementing the nation's foreign policy and co-ordinating its foreign relations, and supporting citizens and businesses around the world.</t>
  </si>
  <si>
    <t>Aleksandar Zhendov, 1113 Sofia, Bulgaria, 1113 Sofia, Bulgaria</t>
  </si>
  <si>
    <t>KolindaGrabarKitarovic</t>
  </si>
  <si>
    <t>Kolinda Grabar-Kitarović</t>
  </si>
  <si>
    <t>http://www.predsjednica.hr/</t>
  </si>
  <si>
    <t>https://www.facebook.com/KolindaGrabarKitarovic/</t>
  </si>
  <si>
    <t>Pantovčak 241, 10000 Zagreb, Croatia</t>
  </si>
  <si>
    <t>President Kolinda Grabar-Kitarović</t>
  </si>
  <si>
    <t>ured.predsjednika.rh</t>
  </si>
  <si>
    <t>Ured Predsjednika RH</t>
  </si>
  <si>
    <t>neslužbena FB stranica - održavaju domoljubi :)</t>
  </si>
  <si>
    <t>30. svibanj 1990.</t>
  </si>
  <si>
    <t>https://www.facebook.com/ured.predsjednika.rh/</t>
  </si>
  <si>
    <t>wwwvladahr</t>
  </si>
  <si>
    <t>Vlada Republike Hrvatske</t>
  </si>
  <si>
    <t>https://vlada.gov.hr</t>
  </si>
  <si>
    <t>Vlada Republike Hrvatske obavlja izvršnu vlast u Republici Hrvatskoj u skladu s Ustavom i zakonima. Komentarima, objavama i pitanjima sudjelujte u radu Vlade Republike Hrvatske na Facebooku.</t>
  </si>
  <si>
    <t>https://www.facebook.com/wwwvladahr/</t>
  </si>
  <si>
    <t>Ministarstvo vanjskih i europskih poslova</t>
  </si>
  <si>
    <t>www.mvep.hr</t>
  </si>
  <si>
    <t>Ministarstvo vanjskih i europskih poslova (MVEP)</t>
  </si>
  <si>
    <t>https://www.facebook.com/Ministarstvo-vanjskih-i-europskih-poslova-506453726037312/</t>
  </si>
  <si>
    <t>Trg Nikole Šubića Zrinskog 7 -8, 10000 Zagreb, Croatia</t>
  </si>
  <si>
    <t>NicosAnastasiades</t>
  </si>
  <si>
    <t>Νίκος Αναστασιάδης (Nicos Anastasiades)</t>
  </si>
  <si>
    <t>Πρόεδρος της Κυπριακής Δημοκρατίας (Επίσημη Σελίδα)</t>
  </si>
  <si>
    <t>https://www.facebook.com/NicosAnastasiades/</t>
  </si>
  <si>
    <t>Δημοκρατικός Συναγερμός</t>
  </si>
  <si>
    <t>President Nicos Anastasiades</t>
  </si>
  <si>
    <t>Υπουργείο Εξωτερικών Κυπριακής Δημοκρατίας - Cyprus MFA</t>
  </si>
  <si>
    <t>http://www.mfa.gov.cy</t>
  </si>
  <si>
    <t>https://www.facebook.com/CyprusMFA/</t>
  </si>
  <si>
    <t>Presidential Palace Avenue, 1447 Nicosia, Cyprus</t>
  </si>
  <si>
    <t>prezidentcr</t>
  </si>
  <si>
    <t>Miloš Zeman - prezident České republiky</t>
  </si>
  <si>
    <t>http://www.zemanmilos.cz/cz/</t>
  </si>
  <si>
    <t>https://www.facebook.com/prezidentcr/</t>
  </si>
  <si>
    <t>119 08 Praha 1 - Hrad</t>
  </si>
  <si>
    <t>President Miloš Zeman</t>
  </si>
  <si>
    <t>Úřad vlády ČR</t>
  </si>
  <si>
    <t>uradvlady</t>
  </si>
  <si>
    <t>https://www.facebook.com/uradvlady/</t>
  </si>
  <si>
    <t>Ministerstvo zahraničních věcí České republiky</t>
  </si>
  <si>
    <t>Oficiální profil Ministerstva zahraničních věcí České republiky. Více informací můžete nalézt na http://www.mzv.cz</t>
  </si>
  <si>
    <t>https://www.facebook.com/mzvcr/</t>
  </si>
  <si>
    <t>Lars Løkke Rasmussen</t>
  </si>
  <si>
    <t>www.larsloekke.dk</t>
  </si>
  <si>
    <t>https://www.facebook.com/larsloekke/</t>
  </si>
  <si>
    <t>Prime Minister Lars Løkke Rasmussen</t>
  </si>
  <si>
    <t>UdenrigsministerietsBorgerservice</t>
  </si>
  <si>
    <t>Udenrigsministeriet Borgerservice</t>
  </si>
  <si>
    <t>https://www.facebook.com/UdenrigsministerietsBorgerservice/</t>
  </si>
  <si>
    <t>Center for Borgerservice og Kommunikation i Udenrigsministeriet arbejder tæt sammen med vores store netværk af danske ambassader og konsulater for at bistå danskere, der oplever problemer under rejse og ophold i udlandet.</t>
  </si>
  <si>
    <t>stenbockimaja</t>
  </si>
  <si>
    <t>Stenbocki maja</t>
  </si>
  <si>
    <t>http://www.valitsus.ee http://www.valitsus.ee/riigikantselei http://valitsus.ee/et/riigikantselei/organisatsioon/stenbocki-maja</t>
  </si>
  <si>
    <t>https://www.facebook.com/stenbockimaja/</t>
  </si>
  <si>
    <t>Estonian Ministry of Foreign Affairs / Välisministeerium</t>
  </si>
  <si>
    <t>http://www.vm.ee</t>
  </si>
  <si>
    <t>https://www.facebook.com/valismin/</t>
  </si>
  <si>
    <t>The Estonian Ministry of Foreign Affairs is responsible for promoting Estonia's interests abroad, by planning and implementing the nation's foreign policy and co-ordinating its foreign relations, and supporting citizens and businesses around the world.</t>
  </si>
  <si>
    <t>(+ 372) 6 377 000</t>
  </si>
  <si>
    <t>Islandi väljak 1, 15049 Tallinn, Estonia</t>
  </si>
  <si>
    <t>Donald Tusk</t>
  </si>
  <si>
    <t>EU</t>
  </si>
  <si>
    <t>europeancouncilpresident</t>
  </si>
  <si>
    <t>http://european-council.europa.eu/the-president</t>
  </si>
  <si>
    <t>Welcome to the official Facebook page of the President of the European Council.</t>
  </si>
  <si>
    <t>https://www.facebook.com/europeancouncilpresident/</t>
  </si>
  <si>
    <t>European Council</t>
  </si>
  <si>
    <t>President Donald Tusk</t>
  </si>
  <si>
    <t>eucouncil</t>
  </si>
  <si>
    <t>Council of the European Union</t>
  </si>
  <si>
    <t>28 EU governments making decisions together</t>
  </si>
  <si>
    <t>https://www.facebook.com/eucouncil/</t>
  </si>
  <si>
    <t>Jean-Claude Juncker</t>
  </si>
  <si>
    <t>http://ec.europa.eu/commission/2014-2019/president_en</t>
  </si>
  <si>
    <t>Official Facebook page of Jean-Claude Juncker, President of the European Commission</t>
  </si>
  <si>
    <t>https://www.facebook.com/JunckerEU/</t>
  </si>
  <si>
    <t>Commission President Jean-Claude Juncker</t>
  </si>
  <si>
    <t>European Commission</t>
  </si>
  <si>
    <t>EuropeanCommission</t>
  </si>
  <si>
    <t>News and information from the European Commission. Posts by the Social Media Team. Engaging on #TeamJunckerEU priorities.</t>
  </si>
  <si>
    <t>https://www.facebook.com/EuropeanCommission/</t>
  </si>
  <si>
    <t>Commission</t>
  </si>
  <si>
    <t>Federica Mogherini</t>
  </si>
  <si>
    <t>f.mogherini</t>
  </si>
  <si>
    <t>http://www.federicamogherini.net</t>
  </si>
  <si>
    <t>https://www.facebook.com/f.mogherini/</t>
  </si>
  <si>
    <t>High Representative for Foreign Affairs Federica Mogherini</t>
  </si>
  <si>
    <t>EuropeanExternalActionService</t>
  </si>
  <si>
    <t>European External Action Service - EEAS</t>
  </si>
  <si>
    <t>https://www.facebook.com/EuropeanExternalActionService/</t>
  </si>
  <si>
    <t>macedonianpresident</t>
  </si>
  <si>
    <t>ЃОРГЕ ИВАНОВ, ПРЕТСЕДАТЕЛ НА РЕПУБЛИКА МАКЕДОНИЈА</t>
  </si>
  <si>
    <t>http://president.mk/</t>
  </si>
  <si>
    <t>Заедно, сложно, без поделби, ја одбравме надежта пред стравот, заедништвото пред поделбите.</t>
  </si>
  <si>
    <t>https://www.facebook.com/macedonianpresident/</t>
  </si>
  <si>
    <t>Ацо Караманов 33 А, 1000 Скопје</t>
  </si>
  <si>
    <t>President Gjorge Ivanov</t>
  </si>
  <si>
    <t>Влада на Република Македонија</t>
  </si>
  <si>
    <t>http://www.vlada.mk</t>
  </si>
  <si>
    <t>https://www.facebook.com/VladaMK/</t>
  </si>
  <si>
    <t>Sauli Niinistö</t>
  </si>
  <si>
    <t>http://www.presidentti.fi</t>
  </si>
  <si>
    <t>https://www.facebook.com/niinisto/</t>
  </si>
  <si>
    <t>President Sauli Niinistö</t>
  </si>
  <si>
    <t>Juha Sipilä</t>
  </si>
  <si>
    <t>juhasi.fi</t>
  </si>
  <si>
    <t>https://www.facebook.com/juhasi.fi/</t>
  </si>
  <si>
    <t>ulkoministerio</t>
  </si>
  <si>
    <t>Ulkoministeriö - utrikesministeriet</t>
  </si>
  <si>
    <t>http://formin.finland.fi</t>
  </si>
  <si>
    <t>Tervetuloa ulkoministeriön Facebook-sivulle! Välkommen till utrikesministeriets Facebooksida! http://formin.finland.fi</t>
  </si>
  <si>
    <t>https://www.facebook.com/ulkoministerio/</t>
  </si>
  <si>
    <t>0295 350 000, ulkomailta +358 295 350 000</t>
  </si>
  <si>
    <t>http://www.elysee.fr/</t>
  </si>
  <si>
    <t>elysee.fr</t>
  </si>
  <si>
    <t>Élysée – Présidence de la République française</t>
  </si>
  <si>
    <t>Bienvenue sur la page officielle de la Présidence de la République française www.elysee.fr</t>
  </si>
  <si>
    <t>https://www.facebook.com/elysee.fr/</t>
  </si>
  <si>
    <t>http://www.gouvernement.fr</t>
  </si>
  <si>
    <t>Gouvernement</t>
  </si>
  <si>
    <t>gouvernement.fr</t>
  </si>
  <si>
    <t>https://www.facebook.com/gouvernement.fr/</t>
  </si>
  <si>
    <t>Service d'Information du Gouvernement (SIG)</t>
  </si>
  <si>
    <t>France Diplomatie</t>
  </si>
  <si>
    <t>france.diplomatie</t>
  </si>
  <si>
    <t>https://www.facebook.com/france.diplomatie/</t>
  </si>
  <si>
    <t>Paris, France</t>
  </si>
  <si>
    <t>france.diplomacy</t>
  </si>
  <si>
    <t>French Ministry of Foreign Affairs</t>
  </si>
  <si>
    <t>http://www.diplomatie.gouv.fr/en/</t>
  </si>
  <si>
    <t>https://www.facebook.com/france.diplomacy/</t>
  </si>
  <si>
    <t>Matignon</t>
  </si>
  <si>
    <t>matignon.fr</t>
  </si>
  <si>
    <t>http://www.gouvernement.fr/premier-ministre/</t>
  </si>
  <si>
    <t>Bienvenue sur la page officielle du Premier ministre français, chef du gouvernement</t>
  </si>
  <si>
    <t>https://www.facebook.com/matignon.fr/</t>
  </si>
  <si>
    <t>Dormant since 01.04.2014</t>
  </si>
  <si>
    <t>AngelaMerkel</t>
  </si>
  <si>
    <t>Angela Merkel</t>
  </si>
  <si>
    <t>Facebook-Seite der CDU-Vorsitzenden, Bundeskanzlerin Angela Merkel.</t>
  </si>
  <si>
    <t>https://www.facebook.com/AngelaMerkel/</t>
  </si>
  <si>
    <t>Berlin, Germany</t>
  </si>
  <si>
    <t>Chancellor Angela Merkel</t>
  </si>
  <si>
    <t>Bundesregierung</t>
  </si>
  <si>
    <t>http://www.bundesregierung.de</t>
  </si>
  <si>
    <t>Herzlich willkommen auf der offiziellen Facebook-Seite der Bundesregierung. Wir freuen uns auf den Austausch mit Ihnen!</t>
  </si>
  <si>
    <t>23. Mai 1949</t>
  </si>
  <si>
    <t>https://www.facebook.com/Bundesregierung/</t>
  </si>
  <si>
    <t>Auswärtiges Amt</t>
  </si>
  <si>
    <t>15. März 1951</t>
  </si>
  <si>
    <t>https://www.facebook.com/AuswaertigesAmt/</t>
  </si>
  <si>
    <t>tsiprasalexis</t>
  </si>
  <si>
    <t>Alexis Tsipras</t>
  </si>
  <si>
    <t>https://www.facebook.com/tsiprasalexis/</t>
  </si>
  <si>
    <t>Prime Minister Alexis Tsipras</t>
  </si>
  <si>
    <t>tsiprasforpresident</t>
  </si>
  <si>
    <t>Alexis Tsipras Intl</t>
  </si>
  <si>
    <t>http://www.primeminister.gov.gr/english/</t>
  </si>
  <si>
    <t>The official international page of Alexis Tsipras</t>
  </si>
  <si>
    <t>https://www.facebook.com/tsiprasforpresident/</t>
  </si>
  <si>
    <t>Ελληνική Κυβέρνηση</t>
  </si>
  <si>
    <t>http://government.gov.gr/</t>
  </si>
  <si>
    <t>https://www.facebook.com/govgr/</t>
  </si>
  <si>
    <t>mfa.gr</t>
  </si>
  <si>
    <t>Greek Ministry of Foreign Affairs | Η Ελλάδα στον Κόσμο</t>
  </si>
  <si>
    <t>Καλώς ήρθατε στην σελίδα μας στο facebook. Για την επίσημη παρουσία του Υπουργείου Εξωτερικών παρακαλούμε επισκεφθείτε http://www.mfa.gr/</t>
  </si>
  <si>
    <t>https://www.facebook.com/mfa.gr/</t>
  </si>
  <si>
    <t>aderjanos</t>
  </si>
  <si>
    <t>Áder János</t>
  </si>
  <si>
    <t>http://www.keh.hu/index.html</t>
  </si>
  <si>
    <t>Magyarország köztársasági elnöke (nem hivatalos oldal)</t>
  </si>
  <si>
    <t>https://www.facebook.com/aderjanos/</t>
  </si>
  <si>
    <t>President Áder János</t>
  </si>
  <si>
    <t>Orbán Viktor</t>
  </si>
  <si>
    <t>orbanviktor</t>
  </si>
  <si>
    <t>http://orbanviktor.hu</t>
  </si>
  <si>
    <t>https://www.facebook.com/orbanviktor/</t>
  </si>
  <si>
    <t>Prime Minister Viktor Orbán</t>
  </si>
  <si>
    <t>kormanyzat</t>
  </si>
  <si>
    <t>Magyarország Kormánya</t>
  </si>
  <si>
    <t>Magyarország Kormánya a Facebookon.</t>
  </si>
  <si>
    <t>https://www.facebook.com/kormanyzat/</t>
  </si>
  <si>
    <t>Budapest, Hungary</t>
  </si>
  <si>
    <t>Forsætisráðuneytið</t>
  </si>
  <si>
    <t>forsaetisraduneytid</t>
  </si>
  <si>
    <t>@forsaetisradun</t>
  </si>
  <si>
    <t>https://www.facebook.com/forsaetisraduneytid/</t>
  </si>
  <si>
    <t>545 8400</t>
  </si>
  <si>
    <t>Stjórnarráðshúsinu við Lækjartorg, 101 Reykjavík, Iceland</t>
  </si>
  <si>
    <t>Icelandic Ministry for Foreign Affairs</t>
  </si>
  <si>
    <t>http://www.mfa.is</t>
  </si>
  <si>
    <t>https://www.facebook.com/MFAIceland/</t>
  </si>
  <si>
    <t>Raudararstigur 25, IS-105 Reykjavík, Iceland</t>
  </si>
  <si>
    <t>utanrikisraduneytid</t>
  </si>
  <si>
    <t>Utanríkisráðuneytið</t>
  </si>
  <si>
    <t>http://www.utanrikisraduneyti.is</t>
  </si>
  <si>
    <t>@MFAIceland</t>
  </si>
  <si>
    <t>https://www.facebook.com/utanrikisraduneytid/</t>
  </si>
  <si>
    <t>Við erum líka á Twitter @MFAIceland</t>
  </si>
  <si>
    <t>Rauðarárstígur 25, 105 Reykjavík, Iceland</t>
  </si>
  <si>
    <t>merrionstreet.ie</t>
  </si>
  <si>
    <t>http://www.merrionstreet.ie</t>
  </si>
  <si>
    <t>MerrionStreet.ie - Irish Government News Service is a service provided from Government Buildings in Dublin: http://www.youtube.com/watch?v=-1YYXVJ9jEM</t>
  </si>
  <si>
    <t>https://www.facebook.com/merrionstreet/</t>
  </si>
  <si>
    <t>MerrionStreet.ie - Irish Government News Service is a service provided from Government Buildings in Dublin</t>
  </si>
  <si>
    <t>To afford a view of government from the vantage point of Government Buildings itself.</t>
  </si>
  <si>
    <t>Government Buildings, Upper Merrion Street, Dublin, Ireland D2</t>
  </si>
  <si>
    <t>Quirinale</t>
  </si>
  <si>
    <t>http://www.quirinale.it/</t>
  </si>
  <si>
    <t>https://www.facebook.com/Quirinale-1531737037092929/</t>
  </si>
  <si>
    <t>Paolo Gentiloni</t>
  </si>
  <si>
    <t>paologentiloni</t>
  </si>
  <si>
    <t>https://www.facebook.com/paologentiloni/</t>
  </si>
  <si>
    <t>Pristina</t>
  </si>
  <si>
    <t>Hashim Thaçi</t>
  </si>
  <si>
    <t>HashimThaciOfficial</t>
  </si>
  <si>
    <t>https://www.facebook.com/HashimThaciOfficial/</t>
  </si>
  <si>
    <t>10000 Pristina</t>
  </si>
  <si>
    <t>MFAKosovo</t>
  </si>
  <si>
    <t>Ministry of Foreign Affairs - Republic of Kosovo</t>
  </si>
  <si>
    <t>www.mfa-ks.net</t>
  </si>
  <si>
    <t>Raimonds Vējonis</t>
  </si>
  <si>
    <t>President Raimonds Vējonis</t>
  </si>
  <si>
    <t>http://www.president.lv</t>
  </si>
  <si>
    <t>Ministru kabinets / Government of Latvia</t>
  </si>
  <si>
    <t>Ministry of Foreign Affairs of the Republic of Latvia</t>
  </si>
  <si>
    <t>http://www.mfa.gov.lv/en</t>
  </si>
  <si>
    <t>The Ministry of Foreign Affairs develops and carries out Latvia’s foreign policy, to strengthen international security and domestic political stability.</t>
  </si>
  <si>
    <t>The Ministry of Foreign Affairs develops and carries out Latvia’s foreign policy, in order to create favorable conditions for international security and domestic political stability.</t>
  </si>
  <si>
    <t>Adrian Hasler</t>
  </si>
  <si>
    <t>adrian.hasler1964</t>
  </si>
  <si>
    <t>http://www.regierung.li</t>
  </si>
  <si>
    <t>Regierungschef Adrian Hasler, Fürstentum Liechtenstein</t>
  </si>
  <si>
    <t>https://www.facebook.com/adrian.hasler1964/</t>
  </si>
  <si>
    <t>9495 Triesen</t>
  </si>
  <si>
    <t>Prime Minister Adrian Hasler</t>
  </si>
  <si>
    <t>Regierung des Fürstentums Liechtenstein</t>
  </si>
  <si>
    <t>https://www.facebook.com/Regierung-des-Fürstentums-Liechtenstein-1411588962478507/</t>
  </si>
  <si>
    <t>Peter-Kaiser-Platz 1, 9490 Vaduz, Liechtenstein</t>
  </si>
  <si>
    <t>Dalia Grybauskaitė</t>
  </si>
  <si>
    <t>D.Grybauskaite</t>
  </si>
  <si>
    <t>http://www.lrp.lt</t>
  </si>
  <si>
    <t>Lietuvos Respublikos Prezidentė/The President of the Republic Of Lithuania. Oficiali svetainė: www.prezidente.lt. Oficialus YouTube kanalas: www.youtube.com/user/PresidentofLithuania</t>
  </si>
  <si>
    <t>https://www.facebook.com/D.Grybauskaite/</t>
  </si>
  <si>
    <t>President Dalia Grybauskaitė</t>
  </si>
  <si>
    <t>LR Vyriausybė</t>
  </si>
  <si>
    <t>https://www.facebook.com/LR-Vyriausybė-77276644149/</t>
  </si>
  <si>
    <t>8 706 63711</t>
  </si>
  <si>
    <t>Dormant since 24.05.2013</t>
  </si>
  <si>
    <t>Užsienio reikalų ministerija</t>
  </si>
  <si>
    <t>Cour Grand-Ducale</t>
  </si>
  <si>
    <t>courgrandducale</t>
  </si>
  <si>
    <t>www.monarchie.lu www.twitter.com/courgrandducale</t>
  </si>
  <si>
    <t>Offiziell Facebook Säit vun der Cour Grand-Ducale, fir méi Informatiounen: www.monarchie.lu - Page officielle de la Cour Grand-Ducale de Luxembourg, pour plus d'information: www.monarchie.lu</t>
  </si>
  <si>
    <t>https://www.facebook.com/courgrandducale/</t>
  </si>
  <si>
    <t>Grand-Ducal Court of Luxembourg</t>
  </si>
  <si>
    <t>Palais Grand-Ducal, Luxembourg, Luxembourg</t>
  </si>
  <si>
    <t>Xavier Bettel</t>
  </si>
  <si>
    <t>https://www.facebook.com/Xavier-Bettel-76714151717/</t>
  </si>
  <si>
    <t>Gouvernement luxembourgeois</t>
  </si>
  <si>
    <t>http://www.gouvernement.lu</t>
  </si>
  <si>
    <t>Marie-Louise Coleiro Preca</t>
  </si>
  <si>
    <t>http://www.president.gov.mt</t>
  </si>
  <si>
    <t>Office of the President, Malta The Palace, Valletta</t>
  </si>
  <si>
    <t>President Marie-Louise Coleiro</t>
  </si>
  <si>
    <t>Joseph Muscat</t>
  </si>
  <si>
    <t>josephmuscatdotcom</t>
  </si>
  <si>
    <t>www.josephmuscat.com</t>
  </si>
  <si>
    <t>https://www.facebook.com/josephmuscatdotcom/</t>
  </si>
  <si>
    <t>Partit Laburista</t>
  </si>
  <si>
    <t>Prime Minister Joseph Muscat</t>
  </si>
  <si>
    <t>Department of Information (Malta)</t>
  </si>
  <si>
    <t>www.doi.gov.mt</t>
  </si>
  <si>
    <t>https://www.facebook.com/DOImalta/</t>
  </si>
  <si>
    <t>2200 1700</t>
  </si>
  <si>
    <t>Chișinău</t>
  </si>
  <si>
    <t>Cancelaria de Stat a Republicii Moldova</t>
  </si>
  <si>
    <t>Cancelaria de Stat este autoritatea publică ce asigură organizarea activităţii Guvernului.</t>
  </si>
  <si>
    <t>Cancelaria de Stat este autoritatea publică ce asigură organizarea activităţii Guvernului în vederea realizării de către acesta a politicii interne şi externe a statului, oferă suportul metodologic şi organizatoric pentru sistemul de planificare, elaborare şi implementare a politicilor publice de către autorităţile guvernamentale, și monitorizează implementarea programului de guvernare al Executivului.</t>
  </si>
  <si>
    <t>Piata Marii Adunari Nationale, 1, MD 2033 Chisinau, Moldova</t>
  </si>
  <si>
    <t>GuvernulRepubliciiMoldova</t>
  </si>
  <si>
    <t>Guvernul Republicii Moldova</t>
  </si>
  <si>
    <t>http://www.gov.md</t>
  </si>
  <si>
    <t>https://www.facebook.com/GuvernulRepubliciiMoldova/</t>
  </si>
  <si>
    <t>maeie.md</t>
  </si>
  <si>
    <t>https://www.facebook.com/maeie.md/</t>
  </si>
  <si>
    <t>str. 31 August 1989, 80, MD-2012 Chisinau, Moldova</t>
  </si>
  <si>
    <t>Palais Princier de Monaco - Prince's Palace of Monaco</t>
  </si>
  <si>
    <t>http://www.palais.mc</t>
  </si>
  <si>
    <t>Le Palais est la résidence officielle du Couple Princier de Monaco.</t>
  </si>
  <si>
    <t>https://www.facebook.com/palaismonaco/</t>
  </si>
  <si>
    <t>Monaco-Ville</t>
  </si>
  <si>
    <t>Princely Court</t>
  </si>
  <si>
    <t>Gouvernement Monaco</t>
  </si>
  <si>
    <t>http://www.gouv.mc</t>
  </si>
  <si>
    <t>https://www.facebook.com/GvtMonaco/</t>
  </si>
  <si>
    <t>HetKoninklijkHuis</t>
  </si>
  <si>
    <t>Het Koninklijk Huis</t>
  </si>
  <si>
    <t>http://www.koninklijkhuis.nl, https://twitter.com/koninklijkhuis, https://www.youtube.com/koninklijkhuis, http://www.rijksoverheid.nl</t>
  </si>
  <si>
    <t>Minister-president</t>
  </si>
  <si>
    <t>ministerpresident</t>
  </si>
  <si>
    <t>http://www.rijksoverheid.nl/regering</t>
  </si>
  <si>
    <t>https://www.facebook.com/ministerpresident/</t>
  </si>
  <si>
    <t>Prime Minister Mark Rutte</t>
  </si>
  <si>
    <t>Kongehuset</t>
  </si>
  <si>
    <t>http://www.kongehuset.no</t>
  </si>
  <si>
    <t>https://www.facebook.com/Kongehuset/</t>
  </si>
  <si>
    <t>Kongehuset / The Royal House of Norway</t>
  </si>
  <si>
    <t>Erna Solberg</t>
  </si>
  <si>
    <t>ernasolberg</t>
  </si>
  <si>
    <t>https://www.facebook.com/ernasolberg/</t>
  </si>
  <si>
    <t>Prime Minister Erna Solberg</t>
  </si>
  <si>
    <t>Utenriksdepartementet</t>
  </si>
  <si>
    <t>http://www.regjeringen.no/ud</t>
  </si>
  <si>
    <t>7. juni 1905</t>
  </si>
  <si>
    <t>https://www.facebook.com/Utenriksdepartementet/</t>
  </si>
  <si>
    <t>Utenriksdepartementets oppgave er å arbeide for Norges interesser internasjonalt, for å sikre vår frihet, trygghet og velstand. Se også våre nettsider http://www.regjeringen.no/ud</t>
  </si>
  <si>
    <t>Oslo, Norway</t>
  </si>
  <si>
    <t>Andrzej Duda</t>
  </si>
  <si>
    <t>andrzejduda</t>
  </si>
  <si>
    <t>Profil Prezydenta RP Andrzeja Dudy</t>
  </si>
  <si>
    <t>https://www.facebook.com/andrzejduda/</t>
  </si>
  <si>
    <t>President Andrzej Duda</t>
  </si>
  <si>
    <t>Prawo i Sprawiedliwość</t>
  </si>
  <si>
    <t>Kancelaria Premiera</t>
  </si>
  <si>
    <t>kancelaria.premiera</t>
  </si>
  <si>
    <t>https://www.facebook.com/kancelaria.premiera/</t>
  </si>
  <si>
    <t>222 500 115</t>
  </si>
  <si>
    <t>Al. Ujazdowskie 1/3, 00-583 Warsaw, Poland</t>
  </si>
  <si>
    <t>WitoldWaszczykowski</t>
  </si>
  <si>
    <t>Witold Waszczykowski</t>
  </si>
  <si>
    <t>https://www.facebook.com/WitoldWaszczykowski/</t>
  </si>
  <si>
    <t>Foreign Minister Witold Waszczykowski</t>
  </si>
  <si>
    <t>polska</t>
  </si>
  <si>
    <t>https://www.facebook.com/polska/</t>
  </si>
  <si>
    <t>Aleja Jana Chrystiana Szucha 23, 00-580 Warsaw, Poland</t>
  </si>
  <si>
    <t>AntonioCostaSG</t>
  </si>
  <si>
    <t>António Costa - SG</t>
  </si>
  <si>
    <t>http://antonio.blogs.sapo.pt</t>
  </si>
  <si>
    <t>Página informal de apoio da candidatura de António Costa a Secretário-geral do Partido Socialista</t>
  </si>
  <si>
    <t>https://www.facebook.com/AntonioCostaSG/</t>
  </si>
  <si>
    <t>Dormant since 20.06.2014</t>
  </si>
  <si>
    <t>Prime Minister António Costa</t>
  </si>
  <si>
    <t>Governo de Portugal</t>
  </si>
  <si>
    <t>http://www.portugal.gov.pt</t>
  </si>
  <si>
    <t>https://www.facebook.com/Governo-de-Portugal-548265471873786/</t>
  </si>
  <si>
    <t>Dormant since 25.02.2013</t>
  </si>
  <si>
    <t>Klaus Iohannis</t>
  </si>
  <si>
    <t>klausiohannis</t>
  </si>
  <si>
    <t>https://www.facebook.com/klausiohannis/</t>
  </si>
  <si>
    <t>President Klaus Iohannis</t>
  </si>
  <si>
    <t>Guvernul României</t>
  </si>
  <si>
    <t>guv.ro</t>
  </si>
  <si>
    <t>http://www.gov.ro</t>
  </si>
  <si>
    <t>22 ianuarie 1862</t>
  </si>
  <si>
    <t>https://www.facebook.com/guv.ro/</t>
  </si>
  <si>
    <t>mae.romania</t>
  </si>
  <si>
    <t>Ministerul Afacerilor Externe/ Ministry of Foreign Affairs, Romania</t>
  </si>
  <si>
    <t>Bine aţi venit pe pagina oficială de Facebook a Ministerului Afacerilor Externe din România!</t>
  </si>
  <si>
    <t>https://www.facebook.com/mae.romania/</t>
  </si>
  <si>
    <t>Aleea Alexandru nr. 31, sector 1, 011822 Bucharest, Romania</t>
  </si>
  <si>
    <t>Дмитрий Медведев</t>
  </si>
  <si>
    <t>Dmitry.Medvedev</t>
  </si>
  <si>
    <t>Страница Председателя Правительства Российской Федерации Дмитрия Анатольевича Медведева</t>
  </si>
  <si>
    <t>https://www.facebook.com/Dmitry.Medvedev/</t>
  </si>
  <si>
    <t>Prime Minister Dmitry Medvedev</t>
  </si>
  <si>
    <t>MIDRussia</t>
  </si>
  <si>
    <t>1802 г.</t>
  </si>
  <si>
    <t>https://www.facebook.com/MIDRussia/</t>
  </si>
  <si>
    <t>Министерство иностранных дел Российской Федерации (МИД России) является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международных отношений Российской Федерации</t>
  </si>
  <si>
    <t>Tomislav Nikolić</t>
  </si>
  <si>
    <t>Председник Републике Србије Томислав Николић</t>
  </si>
  <si>
    <t>https://www.facebook.com/predsednikrs/</t>
  </si>
  <si>
    <t>Ожењен је Драгицом, има синове Радомира и Бранислава, унуке Ленку, Јулију, Димитрија, Војина и Јанка.</t>
  </si>
  <si>
    <t>Andrićev venac 1, 11000 Belgrade, Serbia</t>
  </si>
  <si>
    <t>Александар Вучић</t>
  </si>
  <si>
    <t>vucicaleksandar</t>
  </si>
  <si>
    <t>http://www.sns.org.rs</t>
  </si>
  <si>
    <t>http://twitter.com/avucic</t>
  </si>
  <si>
    <t>https://www.facebook.com/vucicaleksandar/</t>
  </si>
  <si>
    <t>Ivica Dačić</t>
  </si>
  <si>
    <t>www.sps.org.rs</t>
  </si>
  <si>
    <t>https://www.facebook.com/DacicIvica/</t>
  </si>
  <si>
    <t>Belgrade, Serbia</t>
  </si>
  <si>
    <t>Foreign Minister Ivica Dacic</t>
  </si>
  <si>
    <t>Kancelarija za saradnju sa civilnim društvom Vlade Republike Srbije</t>
  </si>
  <si>
    <t>http://www.civilnodrustvo.gov.rs/</t>
  </si>
  <si>
    <t>https://www.facebook.com/vladaOCDrs/</t>
  </si>
  <si>
    <t>Andrej Kiska</t>
  </si>
  <si>
    <t>AndrejKiska</t>
  </si>
  <si>
    <t>http://www.prezident.sk</t>
  </si>
  <si>
    <t>https://www.facebook.com/AndrejKiska/</t>
  </si>
  <si>
    <t>Poprad</t>
  </si>
  <si>
    <t>President Andrej Kiska</t>
  </si>
  <si>
    <t>Miroslav Lajčák</t>
  </si>
  <si>
    <t>LajcakMiroslav</t>
  </si>
  <si>
    <t>https://www.facebook.com/LajcakMiroslav/</t>
  </si>
  <si>
    <t>Foreign Minister Miroslav Lajčák</t>
  </si>
  <si>
    <t>mzv.sk</t>
  </si>
  <si>
    <t>Ministerstvo zahraničných vecí a európskych záležitostí Slovenskej republiky</t>
  </si>
  <si>
    <t>www.mzv.sk</t>
  </si>
  <si>
    <t>https://www.facebook.com/mzv.sk/</t>
  </si>
  <si>
    <t>02 / 5978 1111</t>
  </si>
  <si>
    <t>Borut Pahor</t>
  </si>
  <si>
    <t>borutpahor.si</t>
  </si>
  <si>
    <t>http://www.predsednik.si</t>
  </si>
  <si>
    <t>https://www.facebook.com/borutpahor.si/</t>
  </si>
  <si>
    <t>Erjavčeva 17, SI - 1000 Ljubljana Ljubljana, Slovenia</t>
  </si>
  <si>
    <t>President Borut Pahor</t>
  </si>
  <si>
    <t>mirocerar.SMC</t>
  </si>
  <si>
    <t>https://www.facebook.com/mirocerar.SMC/</t>
  </si>
  <si>
    <t>Prime Minister Miro Cerar</t>
  </si>
  <si>
    <t>Slovenian Ministry of Foreign Affairs / Ministrstvo za zunanje zadeve RS</t>
  </si>
  <si>
    <t>http://www.mzz.gov.si/</t>
  </si>
  <si>
    <t>The Ministry of Foreign Affairs implements Slovenia's foreign policy, carrying out the duties set out in the Foreign Affairs Act and other regulations. It also contributes expert positions during the entire process of planning and determining Slovenia's foreign policy, including collaborating in the passing of resolutions by the National Assembly and the Government.</t>
  </si>
  <si>
    <t>The Ministry is responsible for negotiations with other countries and international organisations, for proposing international agreements for ratification, and their official archiving. The Ministry also promotes and coordinates international cooperation in the political, economic, educational, cultural, scientific and technical and other fields. It devotes particular attention to protecting Slovenian interests and the interests of its citizens and businesses abroad; it is also concerned with the welfare of Slovenian minorities in neighbouring countries and of Slovenes worldwide. The Ministry carries out these activities itself and via the network of diplomatic and consular missions of the Republic of Slovenia abroad.</t>
  </si>
  <si>
    <t>Mariano Rajoy Brey</t>
  </si>
  <si>
    <t>https://www.facebook.com/Mariano-Rajoy-Brey-54212446406/</t>
  </si>
  <si>
    <t>Prime Minister Mariano Rajoy Brey</t>
  </si>
  <si>
    <t>La Moncloa</t>
  </si>
  <si>
    <t>PalaciodelaMoncloa</t>
  </si>
  <si>
    <t>www.lamoncloa.gob.es</t>
  </si>
  <si>
    <t>https://www.facebook.com/PalaciodelaMoncloa/</t>
  </si>
  <si>
    <t>28071 Madrid, Spain</t>
  </si>
  <si>
    <t>Ministerio de Asuntos Exteriores y de Cooperación de España</t>
  </si>
  <si>
    <t>www.maec.es</t>
  </si>
  <si>
    <t>www.kungahuset.se</t>
  </si>
  <si>
    <t>Välkommen till Kungahusets officiella Facebooksida. Kommentera gärna men tänk på att kommentaren ska ha med inlägget eller ämnet att göra. Kommentarer som inte följer ovanstående kan plockas bort.</t>
  </si>
  <si>
    <t>https://www.facebook.com/Kungahuset/</t>
  </si>
  <si>
    <t>08-402 60 00</t>
  </si>
  <si>
    <t>Kungliga slottet, 111 30 Stockholm, Sweden</t>
  </si>
  <si>
    <t>stefanlofven</t>
  </si>
  <si>
    <t>Stefan Löfven</t>
  </si>
  <si>
    <t>http://www.socialdemokraterna.se/stefanlofven</t>
  </si>
  <si>
    <t>https://www.facebook.com/stefanlofven/</t>
  </si>
  <si>
    <t>Sveavägen 68, 105 60 Stockholm, Sweden</t>
  </si>
  <si>
    <t>Prime Minister Stefan Löfven</t>
  </si>
  <si>
    <t>Margot Wallström</t>
  </si>
  <si>
    <t>margot.wallstrom</t>
  </si>
  <si>
    <t>http://www.regeringen.se/sveriges-regering/utrikesdepartementet/margot-wallstrom/</t>
  </si>
  <si>
    <t>Officiell sida för Margot Wallström, Sveriges utrikesminister</t>
  </si>
  <si>
    <t>https://www.facebook.com/margot.wallstrom/</t>
  </si>
  <si>
    <t>Foreign Minister Margot Wallström</t>
  </si>
  <si>
    <t>http://swemfa.se</t>
  </si>
  <si>
    <t>Recep Tayyip Erdoğan</t>
  </si>
  <si>
    <t>RecepTayyipErdogan</t>
  </si>
  <si>
    <t>https://www.facebook.com/RecepTayyipErdogan/</t>
  </si>
  <si>
    <t>Cumhurbaşkanlığı Sarayı 06560 Beştepe-Ankara</t>
  </si>
  <si>
    <t>President Recep Tayyip Erdoğan</t>
  </si>
  <si>
    <t>T.C. Cumhurbaşkanlığı</t>
  </si>
  <si>
    <t>http://www.tccb.gov.tr</t>
  </si>
  <si>
    <t>T.C. Cumhurbaşkanlığı kurumsal resmî Facebook sayfasıdır.</t>
  </si>
  <si>
    <t>https://www.facebook.com/tcbestepe/</t>
  </si>
  <si>
    <t>BBYEGM</t>
  </si>
  <si>
    <t>T.C. Başbakanlık Basın Yayın ve Enformasyon Genel Müdürlüğü</t>
  </si>
  <si>
    <t>http://www.byegm.gov.tr</t>
  </si>
  <si>
    <t>Basın, yayın ve enformasyon hizmetleri.</t>
  </si>
  <si>
    <t>7 Haziran 1920</t>
  </si>
  <si>
    <t>https://www.facebook.com/BBYEGM/</t>
  </si>
  <si>
    <t>Uluslararası medyayı yakından izleyerek, karar alma süreçlerini zamanında ve doğru bilgilerle beslemek;basının gelişimine, ülkemizin tanıtımına katkıda bulunmak ve bunlara ilişkin iletişim stratejilerini oluşturmaktır.</t>
  </si>
  <si>
    <t>Ceyhun Atıf Kansu Caddesi No:122 Balgat, 06520 Çankaya, Ankara</t>
  </si>
  <si>
    <t>Mevlüt Çavuşoğlu</t>
  </si>
  <si>
    <t>mevlutcavusoglu07</t>
  </si>
  <si>
    <t>Foreign Minister Mevlüt Çavuşoğlu</t>
  </si>
  <si>
    <t>Disisleri</t>
  </si>
  <si>
    <t>T.C. Dışişleri Bakanlığı</t>
  </si>
  <si>
    <t>https://www.facebook.com/Disisleri/</t>
  </si>
  <si>
    <t>BasbakanlikKD</t>
  </si>
  <si>
    <t>T.C. Başbakanlık Kamu Diplomasisi Koordinatörlüğü</t>
  </si>
  <si>
    <t>http://www.kdk.gov.tr/</t>
  </si>
  <si>
    <t>30 Ocak 2010</t>
  </si>
  <si>
    <t>https://www.facebook.com/BasbakanlikKD/</t>
  </si>
  <si>
    <t>TurkishForeignMinistry</t>
  </si>
  <si>
    <t>Republic of Turkey Ministry of Foreign Affairs</t>
  </si>
  <si>
    <t>http://www.mfa.gov.tr/default.en.mfa</t>
  </si>
  <si>
    <t>https://www.facebook.com/TurkishForeignMinistry/</t>
  </si>
  <si>
    <t>Turkish Presidency</t>
  </si>
  <si>
    <t>Петро Порошенко</t>
  </si>
  <si>
    <t>petroporoshenko</t>
  </si>
  <si>
    <t>http://www.president.gov.ua</t>
  </si>
  <si>
    <t>П'ятий Президент України</t>
  </si>
  <si>
    <t>https://www.facebook.com/petroporoshenko/</t>
  </si>
  <si>
    <t>President Petro Poroshenko</t>
  </si>
  <si>
    <t>president.gov.ua</t>
  </si>
  <si>
    <t>Адміністрація Президента України</t>
  </si>
  <si>
    <t>http://president.gov.ua</t>
  </si>
  <si>
    <t>З 24 серпня 2013 р.</t>
  </si>
  <si>
    <t>https://www.facebook.com/president.gov.ua/</t>
  </si>
  <si>
    <t>Це офіційна сторінка Адміністрації Президента України у Facebook. Усі права на матеріали, розміщені на цій сторінці, належать Адмiнiстрацiї Президента України.</t>
  </si>
  <si>
    <t>Засновано 13 грудня 1991 року. У цей день Президент України Леонід Кравчук для забезпечення здійснення своїх повноважень як Глави держави підписав Указ про створення постійно діючого органу, який отримав назву «Адміністрація Президента України».</t>
  </si>
  <si>
    <t>вул. Банкова, 11, Kyiv, Ukraine, 01220</t>
  </si>
  <si>
    <t>KabminUA</t>
  </si>
  <si>
    <t>Урядовий портал</t>
  </si>
  <si>
    <t>http://www.kmu.gov.ua</t>
  </si>
  <si>
    <t>Офіційне Facebook-представництво Кабінету Міністрів України та органів виконавчої влади України.</t>
  </si>
  <si>
    <t>Кабінет Міністрів України.</t>
  </si>
  <si>
    <t>https://www.facebook.com/KabminUA/</t>
  </si>
  <si>
    <t>UkrainianGovernment</t>
  </si>
  <si>
    <t>Government portal.Official website of Executive power bodies of Ukraine</t>
  </si>
  <si>
    <t>https://www.facebook.com/UkrainianGovernment/</t>
  </si>
  <si>
    <t>UkraineMFA</t>
  </si>
  <si>
    <t>https://www.facebook.com/UkraineMFA/</t>
  </si>
  <si>
    <t>Офіційна інформація про діяльність Міністерства на сайті: www.mfa.gov.ua / If you're looking for the official source of information about the Ministry of Foreign Affairs of Ukraine, please visit http://mfa.gov.ua/en</t>
  </si>
  <si>
    <t>Міністерство закордонних справ України (МЗС України) як центральний орган виконавчої влади є головним (провідним) органом у системі центральних органів виконавчої влади із забезпечення реалізації державної політики у сфері зовнішніх зносин України та координації заходів у цій сфері.</t>
  </si>
  <si>
    <t>1, Mykhaylivska sqr., Kyiv, Ukraine, 01018</t>
  </si>
  <si>
    <t>http://www.mfa.gov.ua</t>
  </si>
  <si>
    <t>TheBritishMonarchy</t>
  </si>
  <si>
    <t>https://www.facebook.com/TheBritishMonarchy/</t>
  </si>
  <si>
    <t>UK Prime Minister</t>
  </si>
  <si>
    <t>10downingstreet</t>
  </si>
  <si>
    <t>Sir Robert Walpole</t>
  </si>
  <si>
    <t>https://www.facebook.com/10downingstreet/</t>
  </si>
  <si>
    <t>UKgovernment</t>
  </si>
  <si>
    <t>UK government</t>
  </si>
  <si>
    <t>http://www.gov.uk</t>
  </si>
  <si>
    <t>Official Facebook page for the UK government - highlighting government information and support. Formerly the Directgov Facebook page.</t>
  </si>
  <si>
    <t>Foreign Office</t>
  </si>
  <si>
    <t>https://www.facebook.com/foreignoffice/</t>
  </si>
  <si>
    <t>Gaston Browne</t>
  </si>
  <si>
    <t>Prime Minister Gaston Browne</t>
  </si>
  <si>
    <t>AntiguaBarbudaGovt</t>
  </si>
  <si>
    <t>Government of Antigua and Barbuda</t>
  </si>
  <si>
    <t>http://www.ab.gov.ag</t>
  </si>
  <si>
    <t>This page provides information about the services, events and programs of the twin island state. Learn more at www.antigua.gov.ag.</t>
  </si>
  <si>
    <t>https://www.facebook.com/AntiguaBarbudaGovt/</t>
  </si>
  <si>
    <t>Official Facebook Page for the Government of Antigua and Barbuda</t>
  </si>
  <si>
    <t>Each Endeavouring All Achieving</t>
  </si>
  <si>
    <t>268-562-3860</t>
  </si>
  <si>
    <t>Tourism,Agriculture, Art, Craft</t>
  </si>
  <si>
    <t>Sir George Walter Highway, 00000</t>
  </si>
  <si>
    <t>gaston.browne</t>
  </si>
  <si>
    <t>http://gastonbrowne.com</t>
  </si>
  <si>
    <t>https://www.facebook.com/gaston.browne/</t>
  </si>
  <si>
    <t>Antigua &amp; Barbuda Labour Party</t>
  </si>
  <si>
    <t>Hon. Freundel J. Stuart, Q.C., M.P</t>
  </si>
  <si>
    <t>https://www.facebook.com/Hon-Freundel-J-Stuart-QC-MP-161612180563912/</t>
  </si>
  <si>
    <t>Prime Minister Freundel Stuart</t>
  </si>
  <si>
    <t>Barbados Government Information Service</t>
  </si>
  <si>
    <t>http://www.gisbarbados.gov.bb</t>
  </si>
  <si>
    <t>https://www.facebook.com/gisbarbados/</t>
  </si>
  <si>
    <t>Office of the Prime Minister - Belize</t>
  </si>
  <si>
    <t>www.belize.gov.bz</t>
  </si>
  <si>
    <t>Primarily responsible for Inter-Ministerial Coordination and Parliamentary Matters aside from the oversight of various departments and statutory bodies.</t>
  </si>
  <si>
    <t>501-822-2345/46</t>
  </si>
  <si>
    <t>Third Floor, Sir Edney Cain Building, Belmopan, Belize</t>
  </si>
  <si>
    <t>Dormant since 12.10.2012</t>
  </si>
  <si>
    <t>Prime Minister Dean Barrow</t>
  </si>
  <si>
    <t>GOBPressOffice</t>
  </si>
  <si>
    <t>Government of Belize Press Office</t>
  </si>
  <si>
    <t>https://www.facebook.com/GOBPressOffice/</t>
  </si>
  <si>
    <t>(501) 822-0759/0094</t>
  </si>
  <si>
    <t>National Assembly Building, Belmopan, Belize</t>
  </si>
  <si>
    <t>Ministry of Foreign Affairs - Belize</t>
  </si>
  <si>
    <t>http://www.mfa.gov.bz</t>
  </si>
  <si>
    <t>The Ministry of Foreign Affairs aims to formulate, coordinate and implement foreign policy initiatives, addressing the issue National Sovereignty and the preservation of Territorial Integrity, Economy, Human and National Security.</t>
  </si>
  <si>
    <t>https://www.facebook.com/Ministry-of-Foreign-Affairs-Belize-511449525613301/</t>
  </si>
  <si>
    <t>501-822-2167</t>
  </si>
  <si>
    <t>Belmopan, Belize</t>
  </si>
  <si>
    <t>JustinPJTrudeau</t>
  </si>
  <si>
    <t>Justin Trudeau</t>
  </si>
  <si>
    <t>https://www.facebook.com/JustinPJTrudeau/</t>
  </si>
  <si>
    <t>Prime Minister Justin Trudeau</t>
  </si>
  <si>
    <t>http://www.international.gc.ca</t>
  </si>
  <si>
    <t>https://www.facebook.com/CanadaFP/</t>
  </si>
  <si>
    <t>1-800-267-8376</t>
  </si>
  <si>
    <t>125 Sussex Drive, K1A 0G2 Ottawa</t>
  </si>
  <si>
    <t>http://www.international.gc.ca/</t>
  </si>
  <si>
    <t>https://www.facebook.com/CanadaPE/</t>
  </si>
  <si>
    <t>125 Sussex Drive, Ottawa, Ontario K1A 0G2</t>
  </si>
  <si>
    <t>Primer Servidor de la República de Costa Rica 2014 - 2018</t>
  </si>
  <si>
    <t>luisguillermosolisr</t>
  </si>
  <si>
    <t>Luis Guillermo Solís Rivera</t>
  </si>
  <si>
    <t>http://www.presidencia.go.cr/</t>
  </si>
  <si>
    <t>https://www.facebook.com/luisguillermosolisr/</t>
  </si>
  <si>
    <t>Casa Presidencial, San José, Costa Rica.</t>
  </si>
  <si>
    <t>President Luis Guillermo Solís</t>
  </si>
  <si>
    <t>CasaPresidencial</t>
  </si>
  <si>
    <t>Casa Presidencial Costa Rica</t>
  </si>
  <si>
    <t>http://www.presidencia.go.cr</t>
  </si>
  <si>
    <t>Página Oficial de Facebook de Casa Presidencial, República de Costa Rica. www.presidencia.go.cr</t>
  </si>
  <si>
    <t>https://www.facebook.com/CasaPresidencial/</t>
  </si>
  <si>
    <t>San José, Costa Rica, 520-2010 Zapote, San Jose, Costa Rica</t>
  </si>
  <si>
    <t>gobiernocr</t>
  </si>
  <si>
    <t>Gobierno CR</t>
  </si>
  <si>
    <t>http://gobierno.cr</t>
  </si>
  <si>
    <t>Por una ciudadanía mejor informada.</t>
  </si>
  <si>
    <t>https://www.facebook.com/gobiernocr/</t>
  </si>
  <si>
    <t>manuelgonzalezscr</t>
  </si>
  <si>
    <t>http://www.rree.go.cr/</t>
  </si>
  <si>
    <t>Canciller de la República de Costa Rica.</t>
  </si>
  <si>
    <t>https://www.facebook.com/manuelgonzalezscr/</t>
  </si>
  <si>
    <t>Foreign Minister Manuel Gonzalez</t>
  </si>
  <si>
    <t>Ente rector de las relaciones exteriores del país, al cual le corresponde representar al Estado y defender sus intereses políticos, económicos y sociales, así como los de sus nacionales en el exterior, mediante el ejercicio del derecho diplomático y consular, y las actividades de promoción, ejecutadas por un servicio exterior profesionalizado, apoyado por un servicio interno con capacidad técnica y profesional y un servicio administrativo experto, que brinde servicios de eficiencia, excelencia y calidad, a los usuarios internos y externos, al ciudadano nacional, al cuerpo diplomático acreditado en Costa Rica, y a la Iglesia Católica y otras denominaciones religiosas oficialmente registradas.</t>
  </si>
  <si>
    <t>2539-5300</t>
  </si>
  <si>
    <t>Raúl Castro Ruz</t>
  </si>
  <si>
    <t>presidenteraulcastro</t>
  </si>
  <si>
    <t>http://www.cubadebate.cu/raul-castro-ruz/</t>
  </si>
  <si>
    <t>Presidente de los Consejos de Estado y de Ministros de la República de Cuba</t>
  </si>
  <si>
    <t>https://www.facebook.com/presidenteraulcastro/</t>
  </si>
  <si>
    <t>President Raúl Castro Ruz</t>
  </si>
  <si>
    <t>Cancillería de Cuba</t>
  </si>
  <si>
    <t>Página Oficial en Facebook del Ministerio de Relaciones Exteriores de la República de Cuba (MINREX).</t>
  </si>
  <si>
    <t>https://www.facebook.com/CubaMINREX/</t>
  </si>
  <si>
    <t>El Ministerio de Relaciones Exteriores es el Organismo encargado de estudiar, contribuir a elaborar y ejecutar la política exterior aprobada por el Estado y el Gobierno.</t>
  </si>
  <si>
    <t>La misión del Ministerio de Relaciones Exteriores es ejecutar la política exterior de Cuba, contribuir a su elaboración, promover y defender en las relaciones internacionales los principios, valores e intereses que la sustentan. La actuación del Ministerio se basa en los lineamientos e instrucciones que emanan de la Asamblea Nacional del Poder Popular como órgano supremo de la República, del Consejo de Estado y del Consejo de Ministros; es, según establece la constitución de la República, el órgano rector de la política exterior de Cuba y trabaja en estrecha coordinación con los demás Organismos del Estado.</t>
  </si>
  <si>
    <t>Roosevelt Skerrit</t>
  </si>
  <si>
    <t>Prime Minister of the Commonwealth of Dominica</t>
  </si>
  <si>
    <t>SupportRooseveltSkerrit</t>
  </si>
  <si>
    <t>http://www.opm.gov.dm</t>
  </si>
  <si>
    <t>Roosevelt Skerrit is the Prime Minister of the Caribbean island, the Commonwealth of Dominica. He is the MP for the Vieille Case Constituency (since 2000).</t>
  </si>
  <si>
    <t>https://www.facebook.com/SupportRooseveltSkerrit/</t>
  </si>
  <si>
    <t>Dominica Labour Party</t>
  </si>
  <si>
    <t>My personal Profile can be found at: https://www.facebook.com/skerritr</t>
  </si>
  <si>
    <t>1-767-266-3300</t>
  </si>
  <si>
    <t>6th Floor, Financial Center, Kennedy Avenue, Roseau, Dominica</t>
  </si>
  <si>
    <t>Prime Minister Roosevelt Skerrit</t>
  </si>
  <si>
    <t>Francine Baron</t>
  </si>
  <si>
    <t>Senator the Honourable Francine Baron is the Minister for Foreign Affairs and CARICOM Affairs in the Government of the Caribbean island of Dominica.</t>
  </si>
  <si>
    <t>Foreign Minister Francine Baron</t>
  </si>
  <si>
    <t>Danilo Medina</t>
  </si>
  <si>
    <t>danilomedinasanchez</t>
  </si>
  <si>
    <t>http://www.danilomedina.do</t>
  </si>
  <si>
    <t>https://www.facebook.com/danilomedinasanchez/</t>
  </si>
  <si>
    <t>Padre, esposo, servidor de la Patria y Presidente constitucional de la República Dominicana. 100% comprometido con mi país.</t>
  </si>
  <si>
    <t>President Danilo Medina</t>
  </si>
  <si>
    <t>Presidencia de la República Dominicana</t>
  </si>
  <si>
    <t>http://www.presidencia.gob.do</t>
  </si>
  <si>
    <t>https://www.facebook.com/PresidenciaRD/</t>
  </si>
  <si>
    <t>http://www.mirex.gob.do</t>
  </si>
  <si>
    <t>El Ministerio de Relaciones Exteriores tiene como misión impulsar una Política Exterior en beneficio de los intereses del país y sus nacionales, orientada a la defensa y salvaguarda de su soberanía, a la promoción de la paz y la seguridad internacionales, así como reforzar los mecanismos de carácter multilateral y bilateral en apoyo a la estrategia nacional de desarrollo y a la solución de los problemas y temas comunes de la comunidad internacional, conforme a los principios políticos, económicos, sociales, éticos y jurídicos establecidos en la Constitución.</t>
  </si>
  <si>
    <t>Servicios de caracter Gubernamental</t>
  </si>
  <si>
    <t>Salvador Sánchez Cerén</t>
  </si>
  <si>
    <t>President Salvador Sánchez Cerén</t>
  </si>
  <si>
    <t>PresidenciaElSalvador</t>
  </si>
  <si>
    <t>Presidencia de la República de El Salvador</t>
  </si>
  <si>
    <t>www.presidencia.gob.sv</t>
  </si>
  <si>
    <t>https://www.facebook.com/PresidenciaElSalvador/</t>
  </si>
  <si>
    <t>Ministerio de Relaciones Exteriores de El Salvador</t>
  </si>
  <si>
    <t>ministerio.exteriores.sv</t>
  </si>
  <si>
    <t>http://www.rree.gob.sv</t>
  </si>
  <si>
    <t>Cojutepeque el 27 de Febrero de 1858</t>
  </si>
  <si>
    <t>https://www.facebook.com/ministerio.exteriores.sv/</t>
  </si>
  <si>
    <t>Nuestro compromiso es con la sociedad salvadoreña, con sus hijas e hijos, sus trabajadoras y trabajadores, jóvenes, empresarios, artistas, profesionales, campesinos, salvadoreños en el extranjero. Todas y todos, sin importar su ocupación y condición o residencia, seguirán siendo nuestro mayor propósito en la búsqueda de una comunidad más justa y equitativa.</t>
  </si>
  <si>
    <t>drkeithcmitchell</t>
  </si>
  <si>
    <t>Prime Minister &amp; Political Leader</t>
  </si>
  <si>
    <t>https://www.facebook.com/drkeithcmitchell/</t>
  </si>
  <si>
    <t>New National Party</t>
  </si>
  <si>
    <t>Keith Claudius Mitchell was born to Dowlyn and Catherine Mitchell in the tiny west coast village of Brizan on November 12th, 1946. He shares his life with his wife Marietta and their son, Olinga. He received his primary education at the Happy Hill R.C. School and the J.W. Fletcher Memorial School. He went on to the Presentation Brothers College then to the University of the West Indies, Cave Hill Campus, where he gained a Bachelor of Science Degree in Mathematics and Chemistry, followed by a Masters Degree from Howard University and a Doctorate in Mathematics and Statistics from the American University.</t>
  </si>
  <si>
    <t>440-1382</t>
  </si>
  <si>
    <t>Happy Hill, St. George's, Grenada</t>
  </si>
  <si>
    <t>Prime Minister Keith Mitchell</t>
  </si>
  <si>
    <t>GIS - Government Information Service of Grenada</t>
  </si>
  <si>
    <t>http://www.gov.gd/tv/</t>
  </si>
  <si>
    <t>The Government Information Service of Grenada is responsible for coverage, gathering and dissemination of government information.</t>
  </si>
  <si>
    <t>JimmyOficial</t>
  </si>
  <si>
    <t>Jimmy Morales</t>
  </si>
  <si>
    <t>https://www.facebook.com/JimmyOficial/</t>
  </si>
  <si>
    <t>Nacionalista</t>
  </si>
  <si>
    <t>President Jimmy Morales</t>
  </si>
  <si>
    <t>guatemalagob</t>
  </si>
  <si>
    <t>Gobierno de Guatemala</t>
  </si>
  <si>
    <t>https://www.facebook.com/guatemalagob/</t>
  </si>
  <si>
    <t>minex.guatemala.9</t>
  </si>
  <si>
    <t>Minex Guatemala</t>
  </si>
  <si>
    <t>http://www.minex.gob.gt</t>
  </si>
  <si>
    <t>Ministerio de Relaciones Exteriores de Guatemala</t>
  </si>
  <si>
    <t>https://www.facebook.com/minex.guatemala.9/</t>
  </si>
  <si>
    <t>http://www.primature.gouv.ht</t>
  </si>
  <si>
    <t>PrimatureHaitienne</t>
  </si>
  <si>
    <t>Primature Haitienne</t>
  </si>
  <si>
    <t>Bienvenue sur la Page Officielle du Gouvernement de la République d'Haiti.</t>
  </si>
  <si>
    <t>https://www.facebook.com/PrimatureHaitienne/</t>
  </si>
  <si>
    <t>MAECHaiti</t>
  </si>
  <si>
    <t>juanorlandoh</t>
  </si>
  <si>
    <t>Juan Orlando Hernández</t>
  </si>
  <si>
    <t>https://www.facebook.com/juanorlandoh/</t>
  </si>
  <si>
    <t>President Juan Orlando Hernández</t>
  </si>
  <si>
    <t>CasaPresidencialdeHonduras</t>
  </si>
  <si>
    <t>Casa Presidencial de Honduras</t>
  </si>
  <si>
    <t>https://www.facebook.com/CasaPresidencialdeHonduras/</t>
  </si>
  <si>
    <t>http://www.presidencia.gob.hn</t>
  </si>
  <si>
    <t>EstrategiayComunicacionesHn</t>
  </si>
  <si>
    <t>https://www.facebook.com/EstrategiayComunicacionesHn/</t>
  </si>
  <si>
    <t>ComunicadosGobiernodeHonduras</t>
  </si>
  <si>
    <t>Comunicados Oficiales Gobierno De la Republica Honduras</t>
  </si>
  <si>
    <t>http://www.gob.hn</t>
  </si>
  <si>
    <t>Clickeen en Me Gusta y recibiran los mas recientes comunicados oficiales del Gobierno nacional de Honduras.</t>
  </si>
  <si>
    <t>https://www.facebook.com/ComunicadosGobiernodeHonduras/</t>
  </si>
  <si>
    <t>Comunicados Gobierno De La Republica</t>
  </si>
  <si>
    <t>Mantener actualizada a la población, acerca de la Información oficial brindada por el gobierno de unidad nacional.</t>
  </si>
  <si>
    <t>SecretariaDeRelacionesExterioresDeHonduras</t>
  </si>
  <si>
    <t>www.sre.gob.hn</t>
  </si>
  <si>
    <t>Esta es la nueva página oficial de la Secretaría de Relaciones Exteriores de Honduras. (2013)</t>
  </si>
  <si>
    <t>https://www.facebook.com/SecretariaDeRelacionesExterioresDeHonduras/</t>
  </si>
  <si>
    <t>Tel: 2236-0200, 2236-0300</t>
  </si>
  <si>
    <t>Jamaica House</t>
  </si>
  <si>
    <t>JamaicaHouse</t>
  </si>
  <si>
    <t>http://opm.gov.jm/</t>
  </si>
  <si>
    <t>https://www.facebook.com/JamaicaHouse/</t>
  </si>
  <si>
    <t>Enrique Peña Nieto</t>
  </si>
  <si>
    <t>EnriquePN</t>
  </si>
  <si>
    <t>http://www.presidencia.gob.mx</t>
  </si>
  <si>
    <t>https://www.facebook.com/EnriquePN/</t>
  </si>
  <si>
    <t>Residencia Oficial de Los Pinos</t>
  </si>
  <si>
    <t>President Enrique Peña Nieto</t>
  </si>
  <si>
    <t>Presidencia de la República</t>
  </si>
  <si>
    <t>https://www.facebook.com/PresidenciaMX/</t>
  </si>
  <si>
    <t>http://www.gob.mx</t>
  </si>
  <si>
    <t>Tu gobierno en un sólo punto: información, trámites y participación ciudadana.</t>
  </si>
  <si>
    <t>SREMX</t>
  </si>
  <si>
    <t>SRE</t>
  </si>
  <si>
    <t>http://www.gob.mx/sre</t>
  </si>
  <si>
    <t>https://www.facebook.com/SREMX/</t>
  </si>
  <si>
    <t>Página oficial de facebook de la Secretaría de Relaciones Exteriores</t>
  </si>
  <si>
    <t>Juan Carlos Varela</t>
  </si>
  <si>
    <t>VarelaJC</t>
  </si>
  <si>
    <t>https://www.facebook.com/VarelaJC/</t>
  </si>
  <si>
    <t>Partido Panameñista</t>
  </si>
  <si>
    <t>Mantener el compromiso permanente de servicio para el beneficio y desarrollo de la comunidad panameña, participando activamente en diversos proyectos sociales para el ámbito: social, cultural, deportivo, educativo, folclórico y del medio ambiente.</t>
  </si>
  <si>
    <t>Panamá, Panama</t>
  </si>
  <si>
    <t>President Juan Carlos Varela</t>
  </si>
  <si>
    <t>PresidenciadePanama</t>
  </si>
  <si>
    <t>Presidencia de la República de Panamá</t>
  </si>
  <si>
    <t>http://www.presidencia.gob.pa</t>
  </si>
  <si>
    <t>Cuenta Oficial de la Presidencia de la República de Panamá.</t>
  </si>
  <si>
    <t>https://www.facebook.com/PresidenciadePanama/</t>
  </si>
  <si>
    <t>Presidencia de la República de Panama</t>
  </si>
  <si>
    <t>https://www.presidencia.gob.pa/</t>
  </si>
  <si>
    <t>https://www.facebook.com/Presidencia-de-la-República-de-Panama-529224993865914/</t>
  </si>
  <si>
    <t>Central Telefónica: (507) 527-9600</t>
  </si>
  <si>
    <t>Palacio de Las Garzas, Corregimiento de San Felipe, Fax: (507) 527-9034 Panama City, Panama</t>
  </si>
  <si>
    <t>Isabel de Saint Malo de Alvarado</t>
  </si>
  <si>
    <t>http://www.juancarlosvarela.com/biografia/isabel-saint-malo-de-alvarado-la-proxima-vicepresidenta-de-panama/</t>
  </si>
  <si>
    <t>Cuenta oficial de la Vicepresidenta y Ministra de Relaciones Exteriores de la República de Panamá</t>
  </si>
  <si>
    <t>Foreign Minister Isabel Saint Malo</t>
  </si>
  <si>
    <t>Cancillería de Panamá</t>
  </si>
  <si>
    <t>fortalezaproficial</t>
  </si>
  <si>
    <t>La Fortaleza de PR</t>
  </si>
  <si>
    <t>http://www.fortaleza.pr.gov</t>
  </si>
  <si>
    <t>https://www.facebook.com/fortalezaproficial/</t>
  </si>
  <si>
    <t>(787) 721-7000</t>
  </si>
  <si>
    <t>PO Box 9020082, 00902 San Juan, Puerto Rico</t>
  </si>
  <si>
    <t>Departamento de Estado</t>
  </si>
  <si>
    <t>http://www.estado.pr.gov</t>
  </si>
  <si>
    <t>https://www.facebook.com/DeptEstadoPR/</t>
  </si>
  <si>
    <t>El Departamento de Estado fue creado mediante la Sección 6 del Artículo IV de la Constitución del 25 de julio de 1952. Dicha sección dispone que el Gobernador contará con el apoyo de Secretarios de Gobierno, entre éstos, un Secretario de Estado, que nombrará con el consejo y consentimiento del Senado y de la Cámara de Representantes. Asimismo, se establece que el Secretario de Estado es el sucesor constitucional del primer Ejecutivo en ausencia de éste.</t>
  </si>
  <si>
    <t>(787) 722-2121</t>
  </si>
  <si>
    <t>SaintLuciaGovernment</t>
  </si>
  <si>
    <t>Government of Saint Lucia</t>
  </si>
  <si>
    <t>http://www.govt.lc</t>
  </si>
  <si>
    <t>The first Governor General was Sir Allan Lewis, and Hon. John G. Compton the first Prime Minister.</t>
  </si>
  <si>
    <t>https://www.facebook.com/SaintLuciaGovernment/</t>
  </si>
  <si>
    <t>comradegonsalves</t>
  </si>
  <si>
    <t>Ralph Gonsalves</t>
  </si>
  <si>
    <t>The OFFICIAL page of ULP Prime Minister Ralph Gonsalves.</t>
  </si>
  <si>
    <t>https://www.facebook.com/comradegonsalves/</t>
  </si>
  <si>
    <t>St. Vincent and the Grenadines</t>
  </si>
  <si>
    <t>Prime Minister Ralph Gonsalves</t>
  </si>
  <si>
    <t>The Office of the President of the Republic of Trinidad and Tobago</t>
  </si>
  <si>
    <t>http://www.otp.tt</t>
  </si>
  <si>
    <t>The official Facebook page of the Office of the President of the Republic of Trinidad and Tobago</t>
  </si>
  <si>
    <t>https://www.facebook.com/otptt/</t>
  </si>
  <si>
    <t>teamrowley</t>
  </si>
  <si>
    <t>Dr Keith Rowley</t>
  </si>
  <si>
    <t>http://www.pnm.org.tt/</t>
  </si>
  <si>
    <t>Dr. Keith Rowley was elected Prime Minister of Trinidad and Tobago on September 7th 2015</t>
  </si>
  <si>
    <t>https://www.facebook.com/teamrowley/</t>
  </si>
  <si>
    <t>Prime Minister Keith Rowley</t>
  </si>
  <si>
    <t>The Office of the Prime Minister of Trinidad and Tobago</t>
  </si>
  <si>
    <t>(868) 622-1625</t>
  </si>
  <si>
    <t>Trinidad and Tobago Ministry of Foreign and C A R I C O M Affairs</t>
  </si>
  <si>
    <t>http://www.foreign.gov.tt</t>
  </si>
  <si>
    <t># Levels 10 -14, Tower C, Waterfront Complex # 1A Wrightson Road, Port of Spain, Trinidad and Tobago</t>
  </si>
  <si>
    <t>The White House</t>
  </si>
  <si>
    <t>https://www.facebook.com/WhiteHouse/</t>
  </si>
  <si>
    <t>usdos</t>
  </si>
  <si>
    <t>U.S. Department of State</t>
  </si>
  <si>
    <t>http://www.state.gov</t>
  </si>
  <si>
    <t>Welcome to the U.S. Department of State's Facebook page.</t>
  </si>
  <si>
    <t>https://www.facebook.com/usdos/</t>
  </si>
  <si>
    <t>If you're looking for the official source of information about the U.S. Department of State, please visit http://www.state.gov.</t>
  </si>
  <si>
    <t>(202) 647-4000</t>
  </si>
  <si>
    <t>2201 C St NW, Washington, District of Columbia 20520</t>
  </si>
  <si>
    <t>USAdarFarsi</t>
  </si>
  <si>
    <t>USAdarFarsi (وزارت امورخارجه آمریکا به زبان فارسی)</t>
  </si>
  <si>
    <t>فیسبوک فارسی وزارت امور خارجه آمریکا به درج دیدگاه های دولت آمریکا می پردازد.</t>
  </si>
  <si>
    <t>https://www.facebook.com/USAdarFarsi/</t>
  </si>
  <si>
    <t>USAUrdu</t>
  </si>
  <si>
    <t>USAbilAraby</t>
  </si>
  <si>
    <t>Malcolm Turnbull</t>
  </si>
  <si>
    <t>malcolmturnbull</t>
  </si>
  <si>
    <t>https://www.facebook.com/malcolmturnbull/</t>
  </si>
  <si>
    <t>Prime Minister Malcolm Turnbull</t>
  </si>
  <si>
    <t>JBishopMP</t>
  </si>
  <si>
    <t>Julie Bishop MP</t>
  </si>
  <si>
    <t>http://www.juliebishop.com.au https://twitter.com/JulieBishopMP</t>
  </si>
  <si>
    <t>https://www.facebook.com/JBishopMP/</t>
  </si>
  <si>
    <t>414 Rokeby Road, Subiaco, Western Australia 6008</t>
  </si>
  <si>
    <t>Foreign Minister Julie Bishop</t>
  </si>
  <si>
    <t>Suva, Fiji</t>
  </si>
  <si>
    <t>FijianGovernment</t>
  </si>
  <si>
    <t>Fijian Government</t>
  </si>
  <si>
    <t>www.fiji.gov.fj</t>
  </si>
  <si>
    <t>https://www.facebook.com/FijianGovernment/</t>
  </si>
  <si>
    <t>foreign.affairs.fiji</t>
  </si>
  <si>
    <t>www.foreignaffairs.gov.fj</t>
  </si>
  <si>
    <t>International Relations</t>
  </si>
  <si>
    <t>10th October 1970</t>
  </si>
  <si>
    <t>https://www.facebook.com/foreign.affairs.fiji/</t>
  </si>
  <si>
    <t>To advance and safeguard Fiji’s best interests through strong external partnerships and networking.</t>
  </si>
  <si>
    <t>(679) 330 9645</t>
  </si>
  <si>
    <t>Diplomacy and International Relations</t>
  </si>
  <si>
    <t>Level 2, South Wing, BLV Complex, 87 Queen Elizabeth Drive, Nasese, Suva City, Central, Fiji</t>
  </si>
  <si>
    <t>PresidentOfficeRMI</t>
  </si>
  <si>
    <t>Office of the President, Republic of the Marshall Islands</t>
  </si>
  <si>
    <t>https://www.facebook.com/PresidentOfficeRMI/</t>
  </si>
  <si>
    <t>The official Facebook page for the Office of the President was created with the purpose of disseminating news and information directly from the Office of the President and Cabinet. Members are welcome to provide questions, comments, and constructive feedback and suggestions that will help find solutions to the many issues that face the Republic and its people.</t>
  </si>
  <si>
    <t>P.O. Box 2, 96960 Majuro, Marshall Islands</t>
  </si>
  <si>
    <t>Office of the President, Republic of Palau</t>
  </si>
  <si>
    <t>Welcome to the official Facebook page for the Office of the President of the Republic of Palau</t>
  </si>
  <si>
    <t>The mission of the Media Team of the Office of the President is to provide the public with clear and timely information from the Office of the President.</t>
  </si>
  <si>
    <t>6051 Palau, 96940 Koror, Palau</t>
  </si>
  <si>
    <t>President Tommy Remengesau</t>
  </si>
  <si>
    <t>samoagovt</t>
  </si>
  <si>
    <t>Government of Samoa</t>
  </si>
  <si>
    <t>http://www.samoagovt.ws</t>
  </si>
  <si>
    <t>Official Facebook page of the Government of the Independent State of Samoa.</t>
  </si>
  <si>
    <t>https://www.facebook.com/samoagovt/</t>
  </si>
  <si>
    <t>Apia, Samoa</t>
  </si>
  <si>
    <t>GovtPressSec</t>
  </si>
  <si>
    <t>Government Press Secretariat, Samoa</t>
  </si>
  <si>
    <t>https://www.facebook.com/GovtPressSec/</t>
  </si>
  <si>
    <t>The Press Secretariat, one half of the Press &amp; Communications Division under the Ministry of the Prime Minister and Cabinet, is primarily tasked with providing media-related advice and assistance to the Prime Minister and Cabinet, as well as providing information to the Public and the Media about Government initiatives and the latest news from Cabinet.</t>
  </si>
  <si>
    <t>pmopressecoffice</t>
  </si>
  <si>
    <t>https://www.facebook.com/pmopressecoffice/</t>
  </si>
  <si>
    <t>The Solomon Islands Prime Minister's Press Office is part of the Prime Minister's Private Office and it issues media statements, announcements and other information regarding the daily engagements of the Prime Minister and his political administration.</t>
  </si>
  <si>
    <t>Media Releases, Announcements and Information.</t>
  </si>
  <si>
    <t>Office of the Prime Minister &amp; Cabinet, P.O Box G1 Honiara, Solomon Islands</t>
  </si>
  <si>
    <t>Mauricio Macri</t>
  </si>
  <si>
    <t>http://www.mauriciomacri.com.ar</t>
  </si>
  <si>
    <t>https://www.facebook.com/mauriciomacri/</t>
  </si>
  <si>
    <t>President Mauricio Macri</t>
  </si>
  <si>
    <t>Casa Rosada</t>
  </si>
  <si>
    <t>casarosadaargentina</t>
  </si>
  <si>
    <t>https://www.facebook.com/casarosadaargentina/</t>
  </si>
  <si>
    <t>Cancillería Argentina</t>
  </si>
  <si>
    <t>http://www.cancilleria.gob.ar/</t>
  </si>
  <si>
    <t>Esmeralda 1212, C1007ABR Buenos Aires, Argentina</t>
  </si>
  <si>
    <t>mingobierno</t>
  </si>
  <si>
    <t>Ministerio de Gobierno Bolivia</t>
  </si>
  <si>
    <t>http://www.mingobierno.gob.bo</t>
  </si>
  <si>
    <t>Ministerio de Gobierno del Estado Plurinacional de Bolivia</t>
  </si>
  <si>
    <t>https://www.facebook.com/mingobierno/</t>
  </si>
  <si>
    <t>sgovpr</t>
  </si>
  <si>
    <t>Secretaria de Governo</t>
  </si>
  <si>
    <t>(61) 3411-1407</t>
  </si>
  <si>
    <t>Palácio do Planalto, 70150900 Brasília, Brazil</t>
  </si>
  <si>
    <t>http://www.planalto.gov.br</t>
  </si>
  <si>
    <t>palaciodoplanalto</t>
  </si>
  <si>
    <t>Ministério das Relações Exteriores</t>
  </si>
  <si>
    <t>www.itamaraty.gov.br</t>
  </si>
  <si>
    <t>Página oficial do Ministério das Relações Exteriores da República Federativa do Brasil no Facebook</t>
  </si>
  <si>
    <t>https://www.facebook.com/ItamaratyGovBr/</t>
  </si>
  <si>
    <t>portalbrasil</t>
  </si>
  <si>
    <t>Portal Brasil</t>
  </si>
  <si>
    <t>http://www.brasil.gov.br/</t>
  </si>
  <si>
    <t>Seja bem-vindo(a) à página do Portal Brasil! Aqui você encontrará notícias e serviços relacionados ao governo federal. Participe! www.brasil.gov.br</t>
  </si>
  <si>
    <t>https://www.facebook.com/portalbrasil/</t>
  </si>
  <si>
    <t>Brasília, Brazil</t>
  </si>
  <si>
    <t>Segegob</t>
  </si>
  <si>
    <t>www.msgg.gob.cl</t>
  </si>
  <si>
    <t>Información oficial emitida desde el Ministerio Secretaría General de Gobierno de Chile www.segegob.cl</t>
  </si>
  <si>
    <t>25 julio 1932</t>
  </si>
  <si>
    <t>https://www.facebook.com/Segegob/</t>
  </si>
  <si>
    <t>Gobierno de Chile</t>
  </si>
  <si>
    <t>gobiernodechile</t>
  </si>
  <si>
    <t>https://www.facebook.com/gobiernodechile/</t>
  </si>
  <si>
    <t>Cancillería Chile</t>
  </si>
  <si>
    <t>JMSantos.Presidente</t>
  </si>
  <si>
    <t>Juan Manuel Santos - Presidente</t>
  </si>
  <si>
    <t>http://juanmanuelsantospresidente.com</t>
  </si>
  <si>
    <t>https://www.facebook.com/JMSantos.Presidente/</t>
  </si>
  <si>
    <t>President Juan Manuel Santos</t>
  </si>
  <si>
    <t>PresidenciadeColombia</t>
  </si>
  <si>
    <t>Presidencia de la República de Colombia</t>
  </si>
  <si>
    <t>http://wsp.presidencia.gov.co/portal/Paginas/default.aspx</t>
  </si>
  <si>
    <t>Colombia en paz, con equidad y educada</t>
  </si>
  <si>
    <t>https://www.facebook.com/PresidenciadeColombia/</t>
  </si>
  <si>
    <t>(57 1) 562 9300</t>
  </si>
  <si>
    <t>Casa de Nariño Carrera 8 No.7-26, Bogotá, Colombia</t>
  </si>
  <si>
    <t>Cancillería Colombia</t>
  </si>
  <si>
    <t>http://www.cancilleria.gov.co</t>
  </si>
  <si>
    <t>Página oficial del Ministerio de Relaciones Exteriores de Colombia</t>
  </si>
  <si>
    <t>https://www.facebook.com/CancilleriaCol/</t>
  </si>
  <si>
    <t>El Ministerio de Relaciones Exteriores es el organismo rector del Sector Administrativo de Relaciones Exteriores y le corresponde, bajo la dirección del Presidente de la República, formular, planear, coordinar, ejecutar y evaluar la política exterior de Colombia, las relaciones internacionales y administrar el servicio exterior de la República.</t>
  </si>
  <si>
    <t>Promover los intereses nacionales mediante el fortalecimiento y diversificación geográfica y temática de la política exterior y fomentar los vínculos con los colombianos en el exterior.</t>
  </si>
  <si>
    <t>Presidente Constitucional de la República del Ecuador.</t>
  </si>
  <si>
    <t>ComunicacionEcuador</t>
  </si>
  <si>
    <t>Secretaría Comunicación Ecuador</t>
  </si>
  <si>
    <t>http://www.comunicacion.gob.ec/</t>
  </si>
  <si>
    <t>Página Oficial de la Secretaría Nacional de Comunicación del Ecuador - SECOM</t>
  </si>
  <si>
    <t>https://www.facebook.com/ComunicacionEcuador/</t>
  </si>
  <si>
    <t>San Salvador E6-49 y Eloy Alfaro, Quito, Ecuador</t>
  </si>
  <si>
    <t>Cancillería Ecuador</t>
  </si>
  <si>
    <t>http://www.cancilleria.gob.ec</t>
  </si>
  <si>
    <t>Bienvenidos a la Página Oficial de Facebook del Ministerio de Relaciones Exteriores y Movilidad Humana del Ecuador.</t>
  </si>
  <si>
    <t>APNU.Guyana</t>
  </si>
  <si>
    <t>Vlissengen Road, Bourda, Georgetown, Guyana</t>
  </si>
  <si>
    <t>President David Granger</t>
  </si>
  <si>
    <t>Ministry of the Presidency</t>
  </si>
  <si>
    <t>http://www.motp.gov.gy</t>
  </si>
  <si>
    <t>The Ministry of the Presidency is the ministerial department of the Cooperative Republic of Guyana, which houses the Office of the President</t>
  </si>
  <si>
    <t>https://www.facebook.com/MOTPGuyana/</t>
  </si>
  <si>
    <t>New Garden Street, Georgetown, Guyana</t>
  </si>
  <si>
    <t>Office of the Prime Minister - Guyana</t>
  </si>
  <si>
    <t>The official facebook page of the Prime Minister of Guyana, The Honourable Moses Nagamootoo. Also @opmguyana on Twitter and Instagram</t>
  </si>
  <si>
    <t>https://www.facebook.com/opmguyana/</t>
  </si>
  <si>
    <t>Georgetown, Guyana</t>
  </si>
  <si>
    <t>horaciocartesoficial</t>
  </si>
  <si>
    <t>Horacio Cartes</t>
  </si>
  <si>
    <t>http://www.presidencia.gov.py/</t>
  </si>
  <si>
    <t>https://www.facebook.com/horaciocartesoficial/</t>
  </si>
  <si>
    <t>Asociación Nacional Republicana (ANR) o Partido Colorado</t>
  </si>
  <si>
    <t>President Horacio Cartes</t>
  </si>
  <si>
    <t>DireccionGeneraldeInformacionPresidencial</t>
  </si>
  <si>
    <t>Presidencia de la República del Paraguay</t>
  </si>
  <si>
    <t>www.presidencia.gov.py</t>
  </si>
  <si>
    <t>https://www.facebook.com/DireccionGeneraldeInformacionPresidencial/</t>
  </si>
  <si>
    <t>Gobierno de Horacio Cartes</t>
  </si>
  <si>
    <t>Esta página está administrada por la Dirección General de Información Presidencial.</t>
  </si>
  <si>
    <t>(595 - 21) 41 40 200</t>
  </si>
  <si>
    <t>El Paraguayo Independiente y Oleary, Asunción, Paraguay</t>
  </si>
  <si>
    <t>gabinetesocialparaguay</t>
  </si>
  <si>
    <t>Gabinete Social Presidencia de la República del Paraguay</t>
  </si>
  <si>
    <t>http://www.gabinetesocial.gov.py</t>
  </si>
  <si>
    <t>https://www.facebook.com/gabinetesocialparaguay/</t>
  </si>
  <si>
    <t>Ministerio de Relaciones Exteriores del Paraguay</t>
  </si>
  <si>
    <t>Ministerio de Relaciones Exteriores de la República del Paraguay</t>
  </si>
  <si>
    <t>https://www.facebook.com/mreparaguay/</t>
  </si>
  <si>
    <t>493928 / 493902 / 445536</t>
  </si>
  <si>
    <t>Presidencia Perú</t>
  </si>
  <si>
    <t>presidenciaperu</t>
  </si>
  <si>
    <t>www.presidencia.gob.pe, twitter.com/prensapalacio</t>
  </si>
  <si>
    <t>Palacio de Gobierno.</t>
  </si>
  <si>
    <t>Jr. de la Unión s/n 1era cuadra Lima</t>
  </si>
  <si>
    <t>PCMPERU</t>
  </si>
  <si>
    <t>Presidencia del Consejo de Ministros del Perú</t>
  </si>
  <si>
    <t>www.pcm.gob.pe</t>
  </si>
  <si>
    <t>https://www.facebook.com/PCMPERU/</t>
  </si>
  <si>
    <t>La Presidencia del Consejo de Ministros promueve, coordina y articula políticas nacionales con las Entidades del Estado, la Sociedad Civil y el Sector Privado, de manera participativa, transparente y concertada, ejerciendo rectoría sobre procesos de Modernización y Descentralización, Gobernanza e Inclusión Social y Económica.</t>
  </si>
  <si>
    <t>(51) 1 - 219 7000</t>
  </si>
  <si>
    <t>Lima, Peru</t>
  </si>
  <si>
    <t>Ministerio de Relaciones Exteriores del Perú</t>
  </si>
  <si>
    <t>www.rree.gob.pe</t>
  </si>
  <si>
    <t>Cuenta oficial del Ministerio de Relaciones Exteriores del Perú. Desde 1821, formulamos, ejecutamos y evaluamos la política exterior del país.</t>
  </si>
  <si>
    <t>204-2400</t>
  </si>
  <si>
    <t>Dési Bouterse</t>
  </si>
  <si>
    <t>boutersedesi</t>
  </si>
  <si>
    <t>http://ndpsuriname.com/</t>
  </si>
  <si>
    <t>https://www.facebook.com/boutersedesi/</t>
  </si>
  <si>
    <t>Paramaribo, Suriname</t>
  </si>
  <si>
    <t>President Dési Bouterse</t>
  </si>
  <si>
    <t>Nicolás Maduro</t>
  </si>
  <si>
    <t>https://www.facebook.com/NicolasMaduro/</t>
  </si>
  <si>
    <t>President Nicolás Maduro</t>
  </si>
  <si>
    <t>Cancillería Venezuela</t>
  </si>
  <si>
    <t>Ismail Omar Guelleh</t>
  </si>
  <si>
    <t>President Jorge Carlos Fonseca</t>
  </si>
  <si>
    <t>Mahamadou Issoufou</t>
  </si>
  <si>
    <t>President Mahamadou Issoufou</t>
  </si>
  <si>
    <t>Hugo Martínez</t>
  </si>
  <si>
    <t>Total Interactions</t>
  </si>
  <si>
    <t>Total Posts</t>
  </si>
  <si>
    <t>https://facebook.com/%D8%B3%D8%A7%D9%85%D8%AD-%D8%B4%D9%83%D8%B1%D9%8A-1479684935601755</t>
  </si>
  <si>
    <t>True</t>
  </si>
  <si>
    <t>False</t>
  </si>
  <si>
    <t>https://facebook.com/a2iBangladesh</t>
  </si>
  <si>
    <t xml:space="preserve">Official Facebook Page of A2I, Access to Information, Prime Minister's Office, Government of the People's Republic of Bangladesh </t>
  </si>
  <si>
    <t>https://facebook.com/Abdelazizbouteflikaofficielle</t>
  </si>
  <si>
    <t xml:space="preserve">
من هو عبد العزيز بوتفليقة ؟
عبد العزيز بوتفليقة، ولد في 02 مارس 1937 رئيس الجمهورية الجزائرية
منذ 15 أفريل 1999، أكمل دراسته في وجدة و إلتحق بصفوف جيش التحرير الوطني سنة 1956.
في سنة 1958 عين أمينا إداريا لقيادة الولاية الخامسة،و بعد الاستقلال
و في سنه ال25 عين وزيرا للشبيبة و السياحة .
في سنة 1963 عين وزيرا للخارجية و مثل الجزائر أحسن تمثيل في كل خرجاته الدولية و رفع شأن الجزائر بين الأمم.
قد عمل طوال فترة توليه المنصب على عده أمور، ومنها :
• عمل على الاعتراف الدولي بالحدود الجزائرية وتنمية علاقة حسن الجوار مع البلدان المجاورة.
• عمل على النداء للوحدة العربية بمناسبة قمة الخرطوم سنة 1967 ثم تزامنا مع حرب أكتوبر 1973.
• عمل على إفشال الحصار ضد الجزائر بمناسبة تأميم المحروقات.
• نادى على تقوية تأثير منظمات العالم الثالث والعمل لتوحيد عملهم خاصة بمناسبة انعقاد قمتي منظمة الـ 77 منظمة الوحدة الإفريقية المنعقدتين بالجزائر، وكذالك بمناسبة الأعمال التحضيرية لقمة دول عدم الانحياز.
• نادى لمساعدة الحركات التحررية في إفريقيا بصفة خاصة والعالم بصفة عامة.
• نادى للاعتراف بالجزائر كناطق باسم بلدان العالم في مناداته بنظام دولي جديد.
كما إنتخب بالإجماع رئيساً للدورة التاسعة والعشرون لجمعية الأمم المتحدة، وكذلك بالنسبة للدورة الاستثنائية السادسة المخصصة للطاقة والمواد الأولية التي كانت الجزائر أحد البلدان المنادين لانعقادها. وطوال الفترة التي قضاها في الحكومة شارك في تحديد الإتجاهات الكبرى للسياسةالجزائرية في جميع المجالات منادياً داخل الهيئات السياسية لنظام أكثر مرونة.
في سنة 1964 عين عضو اللجنة المركزية للمكتب السياسي لحزب جبهة التحرير الوطني.
وبعد وفاة الرئيس هواري بومدين، وبحكم العلاقة الوطيدة التي كانت تربطه به ألقى كلمه الوداع.و بعدها إبتعد عن الساحة السياسية في الجزائر لسنوات قليلة لكنه سرعانما عاد إلى الجزائر سنة 1987. حيث :
كان من موقعي وثيقة الـ 18 التي تلت أحداث 5 أكتوبر 1988،وشارك في مؤتمر حزب جبهة التحرير الوطني في عام 1989 وانتخب عضواً للجنة المركزية.
في 1998 أعلن نيته دخول المنافسة الرئاسية كمرشح حر. 
في 1999 و بعد اشهر قليلة من توليه منصب رئيس الجمهورية ظهرت نيته في العزم على إخماد نار الفتنة وإعادة الأمن والسلم والاستقرار، وباشر في سبيل ذلك مساراً تشريعياً للوئام المدني حرص على تكريسه وتزكيته عن طريق استفتاء شعبي نال فيه مشروع الوئام أكثر من 98% من الأصوات. 
في 2004 إنتخبه الشعب الجزائري للمرة الثانية رئيسا للجمهورية و إنطلقت مسيرة الإنجازات بوتيرة سريعة حيث كانت أهم محاور برنامجه في العهدة ترسيم إستقرار الجزائر بمشروع المصالحة الوطنية و ثم النقاط التالية :
• إعادة الأمل في العيش الكريم للجزائريين
• تحسين صورة الجزائر الخارجية و جعلها قوية بين الأمم
• إنعاش الإقتصاد الوطني
• بعث الحريات و تقوية ديموقراطية الشعب الجزائري
في يوم الخميس 9 أبريل 2009 أعاد الجزائريون انتخاب عبد العزيز بوتفليقة للمرة الثالثة على التوالي بأغلبية ساحقة قدرت بنسبة 90.24%. و عرفت العهدة الثالثة لبوتفليقة إرتفاعا جيدا في نسبة التنمية المحلية للجزائر.حيث واصل قطار الإزدهار مساره بنجاح . 
فيفري 2014 : عبد العزيز بوتفليقة يعلن عن نيته في الترشح لرئاسيات 2014 وسط ترحبا كبير من المواطنين الجزائريين الذي عبرو عن مساندتهم المطلقة للسيد عبد العزيز بوتفليقة لأنه الرجل الذي نال ثقة الجزائريين لمدة طويلة و مازال يحظى بها رغم كل التحديات التي يرفعها بوتفليقة في كل مناسبة .
______________________________________________
Abdelaziz BOUTEFLIKA, né le 2 mars 1937, est Président de l’Algérie depuis le 15 avril 1999.
Il est né et a fait ses études à Oujda (Maroc). A 19 ans ; il rallie l'ALN en 1956.
En 1958, il est secrétaire administratif au commandement de la Wilaya V. A l’indépendance, il a 25 ans. Il est nommé ministre de la Jeunesse et du Tourisme se démarque  sur la scène internationale par son charisme et sa vision.   
En 1963, il est ministre des Affaires étrangères et contribue à hisser l’Algérie parmi les leaders des pays non alignés.
Il devient membre du Comité central et du bureau politique du FLN lors de son congrès, en avril 1964.
Il préside la 23e session de l'Assemblée générale de l'ONU. Il obtient la condamnation du régime de l’apartheid, il  réussit à faire admettre le leader de l'Organisation de Libération de la Palestine qui prononce un discours marquant devant l'Assemblée Générale des Nations Unies.
En 1977, il se retrouve éliminé de l’échiquier politique algérien après 15 années riches de réalisations politiques et d’expériences.
12 années plus tard, loin de se résigner, il  prend part au congrès du FLN de 1989 qui l'élit membre du Comité central.
En 1994, il préfère décliner les sollicitations dont il est l'objet en vue de son accession aux fonctions de chef de l’Etat.
En décembre 1998, il présente sa candidature à l’élection  présidentielle. Il est élu président de la république le 15 avril 1999. 
En septembre 1999, il organise un référendum pour la Concorde civile auquel les Algériens répondent massivement « OUI »
Il est réélu président en 2004 au 1er tour de l'élection présidentielle.
Les deux mandats du président Bouteflika sont marqués par une ferme volonté de :
-       Redonner espoir aux Algériens,
-       Repositionner l’Algérie sur la scène internationale,
-       Relancer l’économie nationale,
-       Assainir et civiliser le régime. 
Le 12 février 2009, Abdelaziz Bouteflika annonce sa candidature à l’élection présidentielle. Il est réélu dès le premier tour.
Février 2014, dans le cadre d’un serment envers le peuple algérien, Abdelaziz Bouteflika se présente au nom de la stabilité et de la continuité pour une Algérie meilleure.
</t>
  </si>
  <si>
    <t>https://facebook.com/aderjanos</t>
  </si>
  <si>
    <t>Dormant since 20.05.2014</t>
  </si>
  <si>
    <t>https://facebook.com/adrian.hasler1964</t>
  </si>
  <si>
    <t xml:space="preserve">ریاست اجرائیه جمهوری اسلامی افغانستان
د افغانستان اسلامی جمهوریت اجراییه ریاست 
Office of the Chief Executive </t>
  </si>
  <si>
    <t>https://facebook.com/AkordaPress</t>
  </si>
  <si>
    <t>https://facebook.com/alibongoondimba</t>
  </si>
  <si>
    <t>https://facebook.com/AlSisiofficial</t>
  </si>
  <si>
    <t xml:space="preserve">الصفحة الرسمية للرئيس/عبدالفتاح السيسي 
رئيس جمهورية مصر العربية </t>
  </si>
  <si>
    <t xml:space="preserve">ميلاده:
- عبد الفتاح سعيد حسين خليل السيسي
- ولد في 19 نوفمبر سنة 1954 بالقاهرة
- متزوج، وله 4 أبناء (3 أولاد وبنت) 
تكوينه العسكري:
- تخرج من الكليـة الحربيــة (بكالوريوس العلوم العسكرية) في 1 أبريل 1977
- حصل على ماجستير العلوم العسكرية من كلية القادة والأركان عام 1987 
- ماجستير العلوم العسكرية من كلية القادة والأركان البريطانية عام 1992 
- زمالة كلية الحرب العليا من أكاديمية ناصر العسكرية العليا عام 2003    
- زمالة كلية الحرب العليا الأمريكية عام 2006 
الوظائف:
- رئيس فرع المعلومات والأمن بالأمانة العامة لوزارة الدفاع 
- قائد كتيبة مشاة ميكانيكي 
- ملحق دفاع بالمملكة العربية السعودية 
- قائد لواء مشاة ميكانيكي 
- قائد فرقة مشاة ميكانيكي (الفرقة الثانية)
- رئيس أركان المنطقة الشمالية العسكرية 
- قائد المنطقة الشمالية العسكرية 
- مدير إدارة المخابرات الحربية والاستطلاع 
- فريق أول والقائد العام للقوات المسلحة وزير الدفاع والإنتاج الحربي منذ 12 أغسطس 2012
- تمت ترقيته في 27 يناير 2014 إلى رتبة مشير.
الأنـواط والميداليـات:
- ميدالية الخدمة الطويلة والقدوة الحسنة 1998   
- نوط الواجب العسكري من الطبقة الثانية 2005 
- نوط الخدمة الممتازة 2007 
- ميدالية 25 يناير 2012 
- نوط الواجب العسكري من الطبقة الأولي 2012 
ملاحظات هامة:
- ساهم السيسي في إعادة بناء صورة الجيش المصري، سواء على مستوى رفع الكفاءة القتالية من خلال التدريبات والمناورات وتفتيش الحرب، أو من خلال تغيير الملابس العسكرية لشكل أكثر ملائمة مع متطلبات المهام العسكرية، أو من خلال تطوير نظام التسليح المصري.
- يرفض السيسي أي اختراق للقوات المسلحة من جماعة الإخوان المسلمين أو أي حركة سياسية أخرى.
- اشتهر السيسي بانتقاده للتعامل الوحشي مع المتظاهرين أثناء ثورة 25 يناير، وكان قد صرح أن هناك حاجة ماسة لتغيير ثقافة قوات الأمن في تعاملها مع المواطنين وحماية المعتقلين من التعرض للإساءة أو التعذيب.
- وصفته مجلة "نيوزويك" الأمريكية بأنه (رجل مصر القوي) و(الجنرال الهادئ).
تابعوا الحسابات الرسمية للمشير عبد الفتاح #السيسي على الروابط التالية :
الموقع الرسمي | http://www.sisi2014.net/
تويتر | https://twitter.com/AlsisiOfficial
فيسبوك | https://www.facebook.com/AlSisiofficial
انستاجرام | http://instagram.com/alsisiofficial
يوتيوب | http://www.youtube.com/Alsisiofficial
جوجل بلس | https://plus.google.com/+Alsisiofficial
البرنامج الانتخابي | http://www.sisi2014.com/
تطبيق الموبايل | http://goo.gl/SiU8SB
</t>
  </si>
  <si>
    <t>https://facebook.com/Amb-Dr-Amina-C-Mohammed-243558335851543</t>
  </si>
  <si>
    <t>https://facebook.com/AndrejKiska</t>
  </si>
  <si>
    <t xml:space="preserve">Prezident Slovenskej republiky. Spoluzakladateľ charitatívnej organizácie Dobrý Anjel a spoločností Triangel a Quatro. </t>
  </si>
  <si>
    <t>https://facebook.com/andrzejduda</t>
  </si>
  <si>
    <t>https://facebook.com/AngelaMerkel</t>
  </si>
  <si>
    <t>https://facebook.com/anifahaman2</t>
  </si>
  <si>
    <t>https://facebook.com/AntiguaBarbudaGovt</t>
  </si>
  <si>
    <t xml:space="preserve">The tropical islands of Antigua and Barbuda are located in the heart of the Caribbean about a thousand miles to the east of Jamaica and half that distance from Trinidad on the coast of South America. There are 365 beaches on Antigua, one for each day of the year. Barbuda's smooth coastline is edged with long pink and white sand beaches protected by barrier reefs. </t>
  </si>
  <si>
    <t>https://facebook.com/AntonioCostaSG</t>
  </si>
  <si>
    <t>https://facebook.com/APMutharika</t>
  </si>
  <si>
    <t xml:space="preserve">Professor Arthur Peter Mutharika is a Malawian politician, author, educator, lawyer and President of the Republic of Malawi since 31st May 2014 . A Charles Nagel Professor of International Comparative Law, and an International Jurist Awardee 2008, Professor Arthur Peter Mutharika has worked in the area of International Justice across the globe. He is an expert in International Economics law and Comparative constitutional law. .
Mutharika received his law degree from the University of London in 1965. He then received his LLM and JSD degrees from Yale University in 1966 and 1969 respectively. As a Professor, he taught at University of Dar es salaam, Tanzania, Haile Sales University, Ethiopia, Rutgers University, USA, The United Nations Institute for Training and Research programme for foreign service from Africa and Asia at Makerere in Uganda and Washington University, USA.
He has also served as an academic visitor at the London School of Economics, UK as well as an advisor to the American Bar Association rule of law initiative for Africa. He also chaired the Institute of Democracy and Policy studies.
He is the current President of the DPP in Malawi. In May 2009, he was elected to the Malawi Parliament as MP for Thyolo East Constituency and he was subsequently appointed by President Bingu Wa Mutharika to the Malawi Cabinet as Minister of Justice and Constitutional Affairs, Minister of Education, Science and Technology and Minister of Foreign Affairs. 
He was sworn in as Fifth President of the Republic of Malawi on 31st May 2014 after being elected President in the first Malawi Tripartite Election.
</t>
  </si>
  <si>
    <t>I was born on July 18, 1940 to a local teaching family in the tea growing district of Thyolo. I went through the local primary education system  and I went to Dedza Secondary School where I studied my A Levels.
I am a member of the Church of Central African Presbyterian (CCAP) I am married to Gertrude Maseko. We tied the knot in a colourful wedding on June 21, 2014 in Blantyre, just a few weeks after being inaugurated as President of the Republic of Malawi.
My first wife was late Christophine, a Catholic from the Caribbean with whom I had two daughters and a son – Mahopela, Moyenda and Monique.
I received my law degree from the University of London in 1965. I later received his LL.M and JSD degrees from Yale University in 1966 and 1969, respectively. As a professor, I have taught at the University of Dar es Salaam in Tanzania, Haile Selassie University in Ethiopia, Rutgers University in the United States of America (USA), the United Nations Institute for Training and Research Program for Foreign Service Officers from Africa and Asia at Makerere University in Uganda and for 39 years at Washington University in the USA.
I served as an Academic Visitor at the London School of Economics in the United Kingdom (UK) and have also served as advisor to the American Bar Association’s Rule of Law initiative for Africa. I was also the chair of the Institute for Democracy and Policy Studies.
On the political front, I served as an advisor to former president, late Bingu wa Mutharika from the onset of his election campaign until the President's death on the April 5, 2012, in issues of foreign and domestic policy. 
I was minister in different portfolios among others as minister of Foreign Affairs and International Cooperation; Justice and Constitutional Affairs and later as Minister for Education, Science and Technology. 
After the death of my brother, late President Bingu wa Mutharika, I took over the leadership of the Democratic Progressive Party (DPP) at a convention that took place in Blantyre.
On May 20, 2014, I led the DPP to the polls in the Tripartite Elections where on May 30, 2014 I was declared winner after triumphing over the incumbent and 11 other candidates. 
I am Malawi’s fifth President since it got independence in 1964 from Britain and was inaugurated on June 2, 2014 at a packed Kamuzu Stadium in the commercial City of Blantyre.
I am an accomplished author, educator, lawyer, advisor, consultant and politician.
I have published a lot of papers and works which I am sure you can google up or check with reputable libraries worldwide and read.
I would like to thank you all for liking my page and I hope we will interact more here.</t>
  </si>
  <si>
    <t>https://facebook.com/APNU.Guyana</t>
  </si>
  <si>
    <t>HE President David A. Granger</t>
  </si>
  <si>
    <t xml:space="preserve">http://www.motp.gov.gy/ </t>
  </si>
  <si>
    <t>Brigadier (ret'd) David Arthur Granger, M.S.S., M.S.M., is the 8th Executive President of the Co-operative Republic of Guyana, South America.</t>
  </si>
  <si>
    <t>Brigadier David Granger was sworn in as President of the Cooperative Republic of Guyana on 16th May 2015.
Brigadier Granger is a former Commander of the Guyana Defence Force and National Security Adviser to the President. He received his military training at the Mons Officer Cadet School and the School of Infantry in the United Kingdom, the Jungle Warfare Instruction Centre in Brazil and the Army Command and Staff College in Nigeria.
He was a member of several defence and security agencies. He held the chairmanship of the Central Intelligence Committee and co-chairmanship of the Border and National Security Committee and was a member of the Guyana Defence Board, National Drug Law Enforcement Committee and the Disciplined Forces Commission.
He is a graduate of the University of Guyana where he received his Bachelor’s and Master’s Degrees, the University of the West Indies where he received the post-graduate Diploma in International Relations and the University of Maryland where he was a Hubert H. Humphrey Fellow.
He also attended the Urban Policy Development Workshop at the University of California, Los Angeles; the Defense Planning and Resource Management course at the National Defense University, Washington DC and the Counter-Terrorism Educators’ Workshop at the Joint Special Operations University, Florida, USA. He was also an adjunct professor of National Security Affairs at the Center for Hemispheric Defense Studies at the NDU.</t>
  </si>
  <si>
    <t xml:space="preserve">Brigadier (ret'd) David A. Granger, M.S.S. is the Chairman of A Partnership for National Unity (APNU) </t>
  </si>
  <si>
    <t xml:space="preserve">To demonstrate our commitment to a Government of National Unity. </t>
  </si>
  <si>
    <t xml:space="preserve">David Granger has served in several public organizations. He was elected to the presidencies of the History Society, Guyana Heritage Society, University of Guyana Guild of Graduates and the Guyana Chess Federation. He was also formerly a member of the University of Guyana Council, Association of Caribbean Historians, Caribbean Studies Association, Guyana Press Association and Guyana Book Foundation and is currently a member of the Guyana Legion and the Board of Trustees of the Guyana Veterans Foundation.
Brigadier Granger has written extensively on national defence and public security issues. He is the author of National Defence: A Small State in the Subordinate System; Public Security: Criminal Violence and Policing in Guyana and Public Policy: The Crisis of Governance in Guyana.
He has also written several monographs including Guyana’s Independence, 1966; Five Thousand Day War: The Struggle for Haiti’s Independence, 1789-1804; The British Guiana Volunteer Force, 1948-1966; The Guyana National Service, 1974-2000; The Guyana People’s Militia, 1976-1997; The Queen’s College Cadet Corps, 1889-1975; Guyana’s Coinage, 1808-2008; The Era of Enslavement, 1638-1838 and The Village Movement, 1839-1889. He is co-editor, with Winston McGowan and James Rose, of Themes in African-Guyanese History and is former publisher of Guyana Review and Emancipation magazines.
He received various academic awards including the President’s Medal for the best graduating student; Dennis Irvine Prize; Council of the University Prize; Elsa Goveia Medal of Excellence; Guy de Weever History Prize; Earl Attlee History Prize; Mary Noel Menezes Award for History; Department of History Prize and others, from the University of Guyana.
David Granger was born in Guyana on 15th July 1945. He is married to Sandra (née Chan-A-Sue) and is the father of two daughters. </t>
  </si>
  <si>
    <t>https://facebook.com/ar.khamenei</t>
  </si>
  <si>
    <t>https://facebook.com/ARG1880</t>
  </si>
  <si>
    <t>ARG1880</t>
  </si>
  <si>
    <t xml:space="preserve">Office of the Spokesperson to the President of Afghanistan </t>
  </si>
  <si>
    <t>https://www.facebook.com/ARG1880/</t>
  </si>
  <si>
    <t>A brief history of the Arg Palace
When Amir (King) Abdul Rahman Khan assumed the throne in 1880, he decided to build a majestic, fortified castle to be called Arg-e-Shahi (Citadel of the King) to serve as the headquarters and the home of the monarchy in Afghanistan.  He allocated approximately 83 acres of lush land in the north-eastern part of Kabul for this purpose, and began to lay the foundation of the existing Arg.
The castle was surrounded by ramparts equipped with large timbers and other defensive equipment.  A trench was also dug around the castle, which was always filled with water.  At each of the four corners of the wide wall enclosing the compound, beautiful pyramid towers with cannon battlements were built.  Amir Abdul also constructed a magnificent building, today known as Salaam Khana, just beyond the eastern gate of the Arg to meet with visitors. 
A number of buildings were constructed within the compound, including offices for the King, residences for the King and his family, the national treasury, a large arms depot, a jail, and barracks for the army.  From that time, the Arg has served as the base for the monarchy in Afghanistan, and as the Royal and Presidential Palace for all of the Kings and Presidents of Afghanistan, with the single exception of President Hafizullah Amin.  Over time, naturally, the Arg has undergone modifications and revitalization under different rulers.
One of the most impressive buildings in the Arg is the Dilkoshah Palace, located on the northwestern side of the Arg and in the middle of the Arg’s rich gardens.  All of the Kings of Afghanistan, from Amir Habibullah Khan onward, used this Palace as their workplace – if not their residence.  The Dilokshah Palace was where foreign heads of state and other guests were received, and where many of the formal royal ceremonies were conducted.  The interior of the Palace was richly decorated with carpets, artwork and materials from across Afghanistan.
Offices inside the Arg
The Arg presently consists of:
Gul Khana which serves as the offices of the President  and the President's Protocol Office;
The Offices of the President's Chief of Staff;
The National Security Advisor's building; and
The Offices of the Spokesperson to the President
In addition, there are various buildings used for receiving delegations or hosting large meetings.  The Afghan National Army and various Afghan security institutions also have offices within the Arg.</t>
  </si>
  <si>
    <t>+93 20 2141135</t>
  </si>
  <si>
    <t>https://facebook.com/ashrafghani.af</t>
  </si>
  <si>
    <t xml:space="preserve">Overview
Dr Ashraf Ghani grew up in Afghanistan before pursuing his education abroad. Like so many Afghans, foreign invasion and civil war led to the persecution of his family and forced him to remain in exile. Whilst abroad he became a leading scholar of Political Science and Anthropology and then worked at the World Bank where he learned the tools of international development assistance. Following the fall of the Taliban in 2001 he returned to Afghanistan seeking to devote his unique skills and knowledge to the task of rebuilding the country. He advised interim President Karzai and served as the Finance Minister in the Transitional Islamic State of Afghanistan until December 2004. During his tenure as Finance Minister, he designed a package of reforms and initiatedseveral public investment programs that led to significant improvements in the livelihoods of ordinary Afghans across the country. He declined to join the new elected Government in December 2004. However, he remained an influential voice in the political circles both in Afghanistan and abroad.
Early Life
Ashraf Ghani was born to an influential family in Afghanistan in 1949, and spent his early life in the Province of Logar. He completed his primary and secondary education in Habibia High School in Kabul. Growing up in Kabul under monarchy, where his father worked in various senior capacities, he has been immersed in politics from his early days.
Education and Early Career
As a young man Ashraf travelled to Lebanon to attend the American University in Beirut, where he met his future wife, Rula, and earned his first degree in 1973. He returned to Afghanistan in 1974 to teach Afghan studies and Anthropology at Kabul University before winning a government scholarship to study for a Master’s degree in Anthropology at New York’s Columbia University. He left Afghanistan in 1977, intending to be away for two years. When pro-Soviet forces came to power, most of the male members of his family were imprisoned and he was stranded in the US. He stayed at Columbia University and won his Ph.D. there, with a doctoral thesis (Production and domination: Afghanistan, 1747-1901) and was immediately invited to teach at University of California, Berkeley (1983) and then at Johns Hopkins University (1983-1991). During this period he became a frequent commentator on the BBC Dari and Pashto services, broadcast in Afghanistan
International Career
In 1991, Dr. Ghani joined the World Bank as lead anthropologist, advising on the human dimension to economic programs. He served for 11 years, initially working on projects in East Asia, but moving in the mid-nineties towards articulating the Bank’s social policy and reviewing country strategies, conditionalities, and designing reform programs. In 1996, he pioneered the application of institutional and organizational analysis to macro processes of change and reform, working directly on the adjustment program of the Russian coal industry and carrying out reviews of the Bank’s country assistance strategies and structural adjustment programs globally. He spent five years in China, India, and Russia managing large-scale development and institutional transformation projects. Whilst at the World Bank Dr Ghani attended the Harvard-INSEAD and Stanford business schools leadership training program.
Work After 2001
Following the ousting of the Taliban in late 2001, Dr Ghani was asked to serve as Special Adviser to Ambassador Lakhdar Brahimi, the UN Secretary General’s special envoy to Afghanistan. In that capacity, Dr Ghani returned to Afghanistan and worked on the design, negotiation and implementation of the Bonn Agreement, which set out the roadmap for transition to a new government based on popular consent. During the Interim Administration, Dr Ghani served, on a pro bono basis, as Chief Adviser to Interim President Karzai and was among the first officials to disclose his assets. In this capacity, he worked on the preparation of the Loya Jirgas (grand assemblies) that elected president Karzai and approved the constitution.
Work As Finance Minister
As Afghanistan’s Finance Minister for the duration of the Transitional Administration, Dr Ghani is widely credited with the design and implementation of some of the most extensive and difficult reforms of the period. He issued a new currency in record time; computerized the operations of treasury; institutionalized the single treasury account; adopted a policy of no-deficit financing; introduced the budget as the central instrument of policy; centralized revenue; reformed the tariff system and overhauled customs; and instituted regular reporting to the cabinet, the people of Afghanistan, and international stakeholders as a tool of transparency and accountability.
Dr Ghani has combined personal integrity with extremely tough measures against corruption. When he became Finance Minister he fired corrupt officials from the Finance Ministry, ignoring those who threatened to take revenge. He refused to pay the army until they produced a genuine roster of soldiers, rightly suspecting that the figures were exaggerated so as to claim extra money.
Dr Ghani harnessed his knowledge of the international system to break new ground in coordinating donor assistance. He required donors to keep their interventions to three sectors, thereby bringing clarity and mutual accountability to their relations with government counterparts, and preparing a development strategy that put the Afghans in the driver’s seat regarding accountability for their future.
In recognition of his services, he was awarded the Sayed Jamal-ud-Din Afghan medal, the highest civilian award in the country. He was recognized as the Best Finance Minister of Asia in 2003 by Emerging Markets for his efforts.
On March 31-April 2004, he presented a seven-year program of public investment, Securing Afghanistan’s Future, to an international conference in Berlin attended by 65 finance and foreign ministers. Described as the most comprehensive program ever prepared and presented by a poor country to the international community, Securing Afghanistan’s Future was prepared by a team of one-hundred experts working under the supervision of a committee chaired by Dr Ghani. The concept of a double-compact, between the donors and the government of Afghanistan on the one hand and between the government and people of Afghanistan on the other, underpinned the program of investment in Securing Afghanistan’s Future. The donors pledged $8.2 billion at the conference for the first three years of the program –- the exact amount asked by the government — and agreed that the government’s request for a total seven-year package of assistance of $27.5 billion was justified.
Throughout his career, Dr Ghani has focused relentlessly on poverty eradication through the creation of wealth and the establishment of the rights of citizenship. In Afghanistan, he is attributed with designing the National Solidarity Program, a program of bloc grants to villages in which elected village councils determine both the priorities and the mechanisms of implementation. The program has been rolled out across the country and has become so successful that other countries around the world are seeking to emulate it. Dr Ghani also partnered with the Ministry of Communication to ensure that telecom licenses were granted on a fully-transparent basis. As a result, the number of mobile phones in the country jumped from 100 in July 2002 to over a million at the end of 2005. Private investment in the sector exceeded $200 million and the telecom sector emerged as one of the major sectors of revenue generation for government.
After the election of President Karzai in October 2004, Mr Ghani declined to join the cabinet and instead asked to be appointed as Chancellor of Kabul University. As Chancellor, he was engaged in articulating the concept of shared governance among the faculty, students, and staff and advocating a vision of the University where men and women with skills and commitment to lead their country in the age of globalization can be trained.
Dr Ghani subsequently founded the Institute for State Effectiveness, to help governments and their international partners to build more effective, accountable systems of government. As Chairman of the Institute Dr Ghani co-authored a book , Fixing Failed States, to international critical acclaim.
</t>
  </si>
  <si>
    <t>https://facebook.com/aungsansuukyi</t>
  </si>
  <si>
    <t xml:space="preserve">http://NLDchairperson.org </t>
  </si>
  <si>
    <t>https://facebook.com/Aussenministerium</t>
  </si>
  <si>
    <t xml:space="preserve">Wir möchten Sie umfassend über alle Tätigkeiten des österreichischen Außenministeriums informieren und größtmögliche Transparenz schaffen. Nur ein Bruchteil unserer täglichen Arbeit wird in der Bevölkerung und in den Medien wahrgenommen. 
Österreich verfügt über ein Netz von 80 Botschaften und 8 Generalkonsulaten sowie über 100 Honorarkonsulaten weltweit. Nur durch die enge Zusammenarbeit mit unseren europäischen Partnern ist es auch möglich, alle Österreicherinnen und Österreicher im Ausland bestmöglich zu schützen und zu unterstützen und die Interessen Österreichs in internationalen Gremien zu vertreten. 
Österreich ist 2011 für 3 Jahre in den VN Menschenrechtsrat gewählt worden und setzt sich dabei vehement für die Umsetzung internationaler Menschenrechtsstandards weltweit ein. Darüber hinaus ist Österreich Ende 2011 in den Exekutivrat der UNESCO gewählt worden. Nach der erfolgreichen Mitgliedschaft im VN Sicherheitsrat 2009/2010 sind diese erfolgreichen Wahlen eine weitere Auszeichnung des österreichischen Engagements weltweit. 
Seit 2011 wird ein Hauptaugenmerk Österreichs in der Europapolitik auf die Bewältigung der Wirtschafts- und Finanzkrise gelegt. Wir arbeiten mit unseren europäischen Partnern an der Vertrauensbildung in die EU und wollen die EU den Bürgerinnen und Bürgern wieder näher bringen. 
Das Außenministerium setzt auch im Rahmen der Auslandskulturarbeit für die kulturelle Präsenz Österreichs weltweit ein. Auch die Entwicklungspolitik als Querschnittsaufgabe vieler Politikbereiche wird federführend vom Außenministerium gesteuert.
Seit 1. März 2014 ist auch das vormalige Staatssekretariat für Integration als eigenständige Sektion ins Außenministerium eingegliedert.
Für Sie soll diese Facebook Seite nicht nur Informationsplattform sein, sondern selbstverständlich auch Serviceeinrichtung um mit uns in Kontakt zu treten
</t>
  </si>
  <si>
    <t>Bürgerservice: 0043 50 11 50 4411 oder 0043 190115 4411
E-Mail: post@bmeia.gv.at
Website: www.bmeia.gv.at
www.auslandsservice.at
Twitter: www.twitter.com/MFA_Austria
Youtube: www.youtube.com/minoritenplatz8</t>
  </si>
  <si>
    <t>+43 501150</t>
  </si>
  <si>
    <t>https://facebook.com/AuswaertigesAmt</t>
  </si>
  <si>
    <t>Das Auswärtige Amt vertritt die Interessen Deutschlands in der Welt, es fördert den internationalen Austausch und bietet Deutschen im Ausland Schutz und Hilfe.
www.diplo.de/Impressum_Datenschutz</t>
  </si>
  <si>
    <t>https://facebook.com/Bakir-Izetbegovi%C4%87-142839432423177</t>
  </si>
  <si>
    <t xml:space="preserve">ZVANIČNA STRANICA   </t>
  </si>
  <si>
    <t>https://facebook.com/BasbakanlikKD</t>
  </si>
  <si>
    <t xml:space="preserve">KAMU DİPLOMASİSİNİN TANIMI
Stratejik bir iletişim aracı olarak kamu diplomasisi, “kamuoyunun anlaşılması, bilgilendirilmesi ve etkilenmesi” faaliyetlerinin toplamı olarak tanımlanmaktadır. Kamu diplomasisinin amacı propaganda değil, nesnel verilere ve gerçeklere dayalı stratejik bir iletişim dili inşa etmek ve farklı kesimlerin hizmetine sunmaktır.
Kamu diplomasisi faaliyetleri, “devletten-halka” ve “halktan-halka” iletişim olmak üzere iki ana çerçevede yapılmaktadır. Devlet-halk eksenindeki faaliyetler, devletin izlediği politikaları, yaptığı faaliyet ve açılımları doğrudan resmi araçları ve kanalları kullanarak uluslararası kamuya anlatmasıdır. Halktan halka doğrudan iletişim faaliyetlerinde ise STK, araştırma merkezleri, kamuoyu araştırma şirketleri, basın, kanaat önderleri, üniversiteler, mübadele programları, dernek ve vakıflar gibi devlet dışı sivil araçların kullanılması esastır. Bu manada kamu diplomasisi, kavramın orijinal anlamında mündemiç olan “diplomatlar” ile “yabancı kamuoyları” arasında cereyan eden iletişim faaliyetlerinin ötesine geçer. Kamu diplomasisi “diplomatik iletişim”den daha geniş bir alanı kapsar.
Kamu diplomasisi çift taraflı bir iletişim ve etkileşimi öngörür. Birinci hedef, muhatap kitlenin dinlenmesi ve önceliklerinin tespit edilmesidir. İkinci olarak bilgilendirme, paylaşım, ikna ve etkileme amaçlanır. Bu yüzden kamu diplomasisi, dinamik ve çok boyutlu bir iletişim sürecidir. Konuşmak kadar dinlemek, anlatmak kadar anlamak, iletmek kadar iletişime açık olmak önemlidir.
Son yıllarda giderek önem kazanan “ince güç” (soft power) kavramı, kamu diplomasisinin en önemli araçlarından biridir. Bir ülkenin izlediği politikaların doğruluğu ve etkinliği kadar, sahip olduğu ince güç potansiyeli de kamu diplomasisinin başarısını doğrudan etkileyen unsurlar arasındadır. “Değer-merkezli” bir güç tanımına dayanan ince güç, bir ülkenin başkaları tarafından ne kadar cazip ve örnek alınmaya değer görüldüğünü ifade eder. . Bir ülkenin izlediği politikaların başkaları nezdinde meşru kabul edilmesi, o ülkenin ince güç kapasitesini de arttırır. Ekonomi, eğitim, kültür, bilimsel araştırma, sanat, sinema, turizm gibi alanları kapsayan ince güç kavramı, aynı zamanda yeni rekabet alanlarının da başında gelmektedir.
Kamu diplomasisinin bir diğer önemli unsuru, ulusal ve uluslararası politikaların belirlenmesinde giderek daha merkezi bir rol üstlenen, kamuoyudur. Ulusal ve uluslararası politika süreçleri yakından izlenmekte ve basın aracılığıyla dünya kamuoyuna duyurulmaktadır. Kamuoyunun belli bir desteğini almadan ekonomi, dış politika, enerji yahut çevre konularında bir politika belirlemek ve uygulamak mümkün görünmemektedir. </t>
  </si>
  <si>
    <t>Günümüzde, uluslararası toplumu etkilemenin ve yönlendirmenin bir aracı olarak resmi diplomasinin yanı sıra "Kamu Diplomasisi"nin ayrı bir önem kazandığına dikkat çekilen sözkonusu Genelgede, özellikle bilgi ve iletişim teknolojilerinde yaşanan gelişmeler ile uluslararası alanda ortaya çıkan fırsatlar ve tehditlerin, kamu diplomasisi konusunda görevli kurumlar arasında daha etkin bir koordinasyonu, yakın işbirliğini ve hızlı karar alma süreçlerini zorunlu hale getirdiği belirtilmiştir.
Bu itibarla, kamu diplomasisi alanında yürütülecek çalışmalar ile stratejik iletişim ve tanıtım faaliyetleri konusunda kamu kurum ve kuruluşları ile sivil toplum örgütleri arasında işbirliği ve koordinasyonu sağlamak amacıyla, Kamu Diplomasisi Koordinatörlüğünün oluşturulmasının uygun görüldüğü ifade edilen Genelgede, Kamu Diplomasisi Koordinatörlüğü’nün sekretarya hizmetlerinin Basın-Yayın ve Enformasyon Genel Müdürlüğü tarafından yerine getirileceği belirtilmiştir.
Başbakan Sayın Recep Tayyip Erdoğan imzalı genelge uyarınca, tüm kamu kurum ve kuruluşları, sahip oldukları personel, mali kaynaklar, yurt dışı teşkilatları ve teknik ve bilimsel kapasiteleriyle Kamu Diplomasisi Koordinatörlüğü’nün faaliyetlerinin yürütülmesine yardımcı olacaktır. Ülkemizin kamu diplomasisi faaliyetlerinin gerçekleştirilebilmesi için hazırlanacak yıllık faaliyet planları çerçevesinde ilgili kurum bütçelerine ödenek konulması sağlanacaktır.</t>
  </si>
  <si>
    <t>MİSYON
Kamu diplomasisi, Türk dış politikasının ve yumuşak güç kapasitesinin en önemli araçlarından biri olarak Türkiye’nin uluslararası kamuoyunda görünürlüğünü ve etkinliğini arttırmayı hedeflemektedir. Kamu Diplomasisi Koordinatörlüğü Türkiye’nin doğru ve etkin bir şekilde tanınması ve bilinmesi için kamu kurumları ile sivil örgütlenmeler arasında koordinasyonu sağlamakla görevlidir. Türkiye’nin dünyanın farklı kesimleri nezdinde doğru bir şekilde tanınması, orta ve uzun vadeli sistematik çalışmaları zorunlu kılmaktadır. Türkiye’nin tanıtımında ve algı yönetiminde merkezi bir öneme sahip olan ve diplomasi, dış yardımlar, bilim ve teknoloji, ekonomi, yüksek öğretim, turizm, kültür, sanat ve medya gibi geniş bir alana yayılan kamu diplomasisi faaliyetleri, Türkiye’nin yeni potansiyellerinin dünya kamuoyunda tanınmasını sağlar. Kamu Diplomasisi Koordinatörlüğü bu farklı faaliyet kalemlerinin koordinasyonunu sağlayarak Türkiye’nin stratejik iletişimine ve etkin tanıtımına katkıda bulunur. 
VİZYON
Küreselleşme ile birlikte uluslararası ilişkilerin daha girift bir hal aldığı günümüzde kamu diplomasisi, uluslararası kamuoyunu etkilemenin ve yönlendirmenin en önemli araçlarından biri haline gelmiştir. Yükselen bir güç olarak Türkiye’nin stratejik iletişim ve kamu diplomasisi alanlarında etkin ve başarılı olması, milli çıkarlarının, bölgesel etkinliğinin ve küresel sorumluluklarının vazgeçilmez bir unsurudur. Bu durum, ülkemizin izlediği politikaların hem meşruiyeti hem de etkinlik alanı açısından önem arz etmektedir. Başbakanlık Kamu Diplomasisi Koordinatörlüğü, bu çerçevede gerek ülkemizin güçlü mirasını ve çağdaş tecrübesini gerekse son yıllarda bölgesel ve küresel siyasette artan etkisinden yola çıkarak, Türkiye’nin yeni hikayesini etkin bir şekilde anlatmayı, farklı kesimlerle diyaloğa geçmeyi ve çok-taraflı bir iletişim ekseninde faaliyet yürütmeyi amaçlamaktadır.</t>
  </si>
  <si>
    <t>Başbakanlık Merkez Bina B Kapısı Zemin Kat   No:38, Çankaya, Ankara</t>
  </si>
  <si>
    <t>https://facebook.com/BBYEGM</t>
  </si>
  <si>
    <t xml:space="preserve">Genel Müdürlüğümüzün görevi ilgili makamlar ve kamuoyuna zamanında ve doğru, tanıtıcı, aydınlatıcı bilgi akışını sağlamak ve tanıtma, aydınlatma faaliyetlerine katılmaktır. </t>
  </si>
  <si>
    <t xml:space="preserve">Türkiye Büyük Millet Meclisi'nin kurulmasından hemen sonra yeni Türk devletince ihdas edilen ilk kuruluşlardan biri de "Matbuat ve  İstihbarat Müdüriyeti Umumiyesi" olmuştur. 7 Haziran 1920 tarihinde, 6 sayılı kanunla ve Atatürk'ün direktifleriyle, TBMM ve aynı zamanda İcra Vekilleri Heyeti Reisine doğrudan bağlı olarak kurulmuştur. 
Atatürk tarafından kaleme alınan 6 sayılı kanunun gerekçesi şöyleydi: 
"Milli  çıkarlarımızın  savunulmasında  son derece etkin olan siyaset ve fikir teşkilatının öteden beri ihmal edilmiş olması birçok kötülüklere sebep olmuştur. Avrupa'nın en küçük bir devleti yoktur ki, bu yolda kabil olduğu kadar geniş bir teşkilatı bulunmasın. Bir taraftan Avrupa basınında milli ve meş­ru davamızı savunmaya yönelik yayınlarda bulunmak, yabancı basını devamlı inceleyerek fikir akımlarını anlamaya  çalışmak, öte  yandan içeride de zamanın emrettiği fikir ve ruh  birliğini sağlamak  için  her vasıtadan yararlanarak yayınlarda bulunmak zarureti vardır." 
Bu  tarihten  sonra  çalışmalarını  farklı  isimler altında ve değişik bakanlıklara bağlı olarak sürdüren Genel Müdürlük, nihayet 18 Haziran 1984 tarihinde  yayımlanan  231 sayılı Kanun Hükmünde Kararname ile Basın-Yayın ve Enformasyon Genel Müdürlüğü adı altında teşkilatlandırılmıştır.  </t>
  </si>
  <si>
    <t>+90 312 583 60 00</t>
  </si>
  <si>
    <t>https://facebook.com/BejiCEOfficial</t>
  </si>
  <si>
    <t xml:space="preserve">الصفحـة الرسميّـة للباجـي قائـد السبسـي الرئيس الخامس للجمهورية التونسية 
</t>
  </si>
  <si>
    <t>https://facebook.com/BeMonarchie</t>
  </si>
  <si>
    <t xml:space="preserve">Ongepast commentaar kan weggehaald worden.
Les commentaires inappropriés peuvent être supprimés.
Inappropriate comments may be deleted.
</t>
  </si>
  <si>
    <t>https://facebook.com/bhutan.gov.bt</t>
  </si>
  <si>
    <t>General Information page! 
contact details of the RGoB embassies</t>
  </si>
  <si>
    <t>Online help &amp; feedback system for the Bhutanese citizens traveling and studying outside the country.
Interactive web service integrated with live chat and SMS services to provide the right information during emergency needs. This web service will be linked or integrated to Bhutan portal to provide government information and documents, including contact information of the nearest Bhutanese embassies/consulates to contact during emergency. This web service provides the capabilities of interactive communication mechanisms necessary for providing online support and help to citizens who are really in need of the help. 
Find us on Google+ and Twitter as well.
Google+:https://plus.google.com/u/0/b/116876174844752398246/+CabinetGovBt
Twitter: https://twitter.com/BhutanGov</t>
  </si>
  <si>
    <t>https://facebook.com/bnpmo</t>
  </si>
  <si>
    <t>ROLES AND FUNCTIONS
To achieve our mission, we will provide:
    * Professional and competent policy inputs to the processes of policy making;
    * Effective administrative leadership to all ministries and departments;
    * Effective coordination and facilitation between agencies throughout the Civil Service and with the private sector and the community;
    * Quality information and professional services to key stakeholders in the Prime Minister's Office;</t>
  </si>
  <si>
    <t>+673 2224645</t>
  </si>
  <si>
    <t>https://facebook.com/borutpahor.si</t>
  </si>
  <si>
    <t>http://www.predsednik.si
http://www.borutpahor.si/ https://twitter.com/borutpahor</t>
  </si>
  <si>
    <t>Borut Pahor je leta 1987 diplomiral iz politologije s temo Prizadevanja neuvrščenih za mirno reševanje sporov med članicami gibanja, za kar je prejel tudi nagrado Prešernovega sklada in Zoretovo nagrado.
Politično delovanje
Na novogoriški gimnaziji je bil leta 1978 v vodstvu mladinske organizacije (ZSMS). V ZKS je vstopil proti koncu študija mednarodne politologije na tedanji Fakulteti za sociologijo, politologijo in novinarstvo v Ljubljani leta 1986. V tretjem in četrtem letniku je bil na čelu fakultetne ZSMS, v šolskem letu 1986/87 pa je neuspešno kandidiral za predsedstvo univerzitetne konference ZSMS.
Leta 1988 je v enem od člankov v strankinem tedniku Komunist kritiziral koncept avantgardne vloge partije in razmišljal o sestopu z oblasti. Leta 1989 se je znotraj ZKS začel ustanavljati Demokratični forum, podmladek ZKS. Vodenje je prevzel Pahor. S 26 leti je postal najmlajši član centralnega komiteja Zveze komunistov Slovenije, nato pa še član njegovega predsedstva.
Leta 1990 je bil delegat na zadnjem, januarskem kongresu Zveze komunistov Jugoslavije in ga tudi predčasno zapustil skupaj s celotno slovensko delegacijo.
Borut Pahor je bil podpredsednik Združene liste socialnih demokratov od njene ustanovitve leta 1993 do tretjega kongresa 15. marca 1997, ko je bil z veliko večino izvoljen za predsednika stranke. Leta 1997 je od Janeza Kocijančiča prevzel vodenje Združene liste socialnih demokratov, sedaj Socialni demokrati, ki jo vodi še danes. Leta 2004 je postal član Predsedstva PES - Stranke evropskih socialdemokratov.
Parlamentarno delovanje
Leta 1990 je bil na listi ZKS-SDP prvič izvoljen v takratno Skupščino Socialistične republike Slovenije. Postal je predsednik komisije za vprašanja mladih. V drugem delu mandata je postal podpredsednik komisije za mednarodno sodelovanje.
Leta 1992 je bil izvoljen za poslanca v 1. državni zbor Republike Slovenije. V tem mandatu Državnega zbora Republike Slovenije je bil namestnik predsednika odbora za zunanjo politiko, od leta 1995 pa tudi njegov predsednik. V obdobju 1992-1996 je bil član komisije za evropske zadeve, komisije za nadzor nad delom varnostnih in obveščevalnih služb in odbora za obrambo, vodil pa je tudi slovensko delegacijo v Parlamentarni skupščini Sveta Evrope.
Od samega začetka je sodeloval in kasneje tudi vodil slovensko parlamentarno delegacijo v Svetu Evrope. Leta 1996 je bil izvoljen za enega od podpredsednikov delegacije. V Parlamentarni skupščini Sveta Evrope v Strasbourgu je bil predsednik Ad Hoc komiteja za enake možnosti spolov. V letih 1996/1997 je bil član Izvršnega komiteja Mednarodne zveze parlamentarcev. Leta 1998 je bil izvoljen v predsedstvo socialistične skupine v Svetu Evrope.
V letih 1993 do 1997 je bil član Skupščine Zahodnoevropske unije.
Leta 1996 je bil izvoljen v 2. državni zbor Republike Slovenije. Bil je član odbora za mednarodne odnose, ustavne komisije, odbora za obrambo, vodja delegacije Državnega zbora v Parlamentarni skupščini Sveta Evrope ter član Izvršnega odbora Mednarodne parlamentarne organizacije. 
Leta 1996 je bil izvoljen tudi za podpredsednika Državnega zbora in funkcijo opravljal do aprila 1997. Leta 1997 je kandidiral za ministra za zunanje zadeve, vendar je predlog mandatarja dr. Janeza Drnovška v Državnem zboru dobil en glas premalo.
Leta 1997 je od Janeza Kocijančiča prevzel vodenje Združene liste socialnih demokratov, stranko, zdaj Socialnih demokratov pa vodi še danes.
Po volitvah leta 2000, na katerih je bil izvoljen v 3. državni zbor Republike Slovenije, je postal predsednik Državnega zbora in to funkcijo opravljal skoraj do konca mandata. Leta 2004 je bil kljub zadnjemu mestu na listi ZLSD izvoljen v Evropski parlament; deloval je kot član poslanske skupine socialistov. 
Bil je član Skupine socialdemokratov v evropskem parlamentu, član Odbora za proračunski nadzor, član Odbora za ustavne zadeve, nadomestni član Odbora za zunanje zadeve in podpredsednik Delegacije pri Skupnem parlamentarnem odboru EU-Hrvaška. 15. oktobra 2008 je njegov mandat v Evropskem parlamentu potekel, ker je bil izvoljen v 5. državni zbor Republike Slovenije.
Na predsedniških volitvah 2007 je dolgo veljal za kandidata z možnostmi za zmago, vendar se je po dolgotrajnem premisleku in upoštevaje stališča stranke 22. junija odločil, da bo stranko raje popeljal na parlamentarne volitve leto pozneje.
Delovanje v vladi
Pod njegovim vodstvom je stranka Socialnih demokratov na državnozborskih volitvah 21. septembra 2008 dosegla relativno zmago in potrojila število poslanskih mandatov; posledično ga je predsednik republike predlagal za mandatarja. 7. novembra istega leta pa je bil v Državnem zboru potrjen za novega mandatarja. 21. novembra 2008 je bila na njegov predlog v Državnem zboru izvoljena nova koalicijska vlada.
4. novembra 2009 je s hrvaško premierko Jadranko Kosor v Stockholmu podpisal t. i. arbitražni sporazum, ki določa nadaljnje reševanje vprašanja meje med Slovenijo in Hrvaško, ki od osamosvojitve obeh držav leta 1991 še ni določena, pred mednarodnim arbitražnim sodiščem. Arbitražni sporazum je bil kasneje ratificiran v hrvaškem saboru, slovenskem parlamentu in, z večinsko voljo slovenskih volivcev, na naknadnem zakonodajnem referendumu 6. junija 2010.
Julija 2011 je začasno (za največ tri mesece) prevzel tudi Ministrstvo za javno upravo Republike Slovenije.
20. septembra je Državni zbor Republike Slovenije v paketnem glasovanju zavrnil vse ministrske kandidate (s 36 glasovi za in 51 proti); ker je Pahor na njihovo izvolitev vezal tudi zaupnico vladi, je bila posledično izglasovana tudi nezaupnica.
Do sestave nove vlade je Pahorjeva vlada opravljala le tekoče zadeve.[4] S tem je vlada postala tretja vlada v zgodovini samostojne Slovenije (po 1. in 4. vladi), ki je predčasno končala svoj mandat.
Med pripravami na državnozborske volitve je Pahor 18. oktobra dejal, da razmišlja o odstopu s položaja predsednika SD po volitvah oz. pred spomladanskim kongresom stranke.
Na državnozborskih volitvah leta 2011 je kandidiral na listi SD v Novi Gorici in bil ponovno izvoljen za poslanca. Trenutno je stranka SD v opoziciji, saj ni želela vstopiti v desno-sredinsko koalicijo.</t>
  </si>
  <si>
    <t>https://facebook.com/boutersedesi</t>
  </si>
  <si>
    <t>https://facebook.com/Bundesregierung</t>
  </si>
  <si>
    <t>Die Bundesregierung online:
&gt;&gt; www.bundesregierung.de
&gt;&gt; www.bundeskanzlerin.de
Regierungssprecher Steffen Seibert auf Twitter:
&gt;&gt; www.twitter.com/RegSprecher
Die Bundesregierung auf YouTube:
&gt;&gt; www.youtube.com/bundesregierung
Die Bundeskanzlerin auf Instagram: 
&gt;&gt; www.instagram.com/bundeskanzlerin
Das digitale Bildarchiv des Presse- und Informationsamtes der Bundesregierung:
&gt;&gt; www.bundesbildstelle.de</t>
  </si>
  <si>
    <t xml:space="preserve">Botswana has put a premium on economic and political integration in southern Africa. It has sought to make SADC a working vehicle for economic development, and it has promoted efforts to make the region self-policing in terms of preventative diplomacy, conflict resolution, and good governance. It has welcomed post-apartheid South Africa as a partner in these efforts. Botswana joins the African consensus on most major international matters and is a member of international organizations such as the United Nations and the African Union. </t>
  </si>
  <si>
    <t>https://facebook.com/CanadaFP</t>
  </si>
  <si>
    <t>Canada’s Foreign Policy—Global Affairs Canada</t>
  </si>
  <si>
    <t>Welcome to Global Affairs Canada's foreign policy page.</t>
  </si>
  <si>
    <t>https://facebook.com/CanadaPE</t>
  </si>
  <si>
    <t>La politique étrangère du Canada – Affaires mondiales Canada</t>
  </si>
  <si>
    <t>Bienvenue aux Affaires mondiales Canada  – la page sur la politique étrangère du Canada</t>
  </si>
  <si>
    <t>Le mandat d'Affaires étrangères, Commerce et Développement Canada est de diriger les relations diplomatiques et consulaires, d'encourager le commerce international du pays et de mener les efforts du Canada en matière de dévéloppement international et d'aide humanitaire. Cela signifie :
- faire en sorte que la politique étrangère du Canada reflète les valeurs authentiquement canadiennes et préserve les intérêts nationaux du Canada;
- raffermir les ententes commerciales fondées sur des règles et de parvenir à un accès accru, libre et équitable aux échelons bilatéral, régional et mondial en matière de commerce international;
- travailler avec nos partenaires, tant au gouvernement qu'à l'extérieur, pour améliorer les perspectives économiques et la sécurité du Canada et des Canadiens, au pays et à l'étranger;
- gérer l'appui du Canada au développement international et les ressources qu'il y consacre de façon efficace et responsable en vue d'obtenir des résultats durables et significatifs;
- s'engager dans l'élaboration de politiques de développement au Canada et sur la scène internationale afin d'aider le Canada à atteindre ses objectifs au chapitre du développement.</t>
  </si>
  <si>
    <t>Regulamentul privind organizarea şi funcţionarea Cancelariei de Stat
http://www.cancelaria.gov.md/pageview.php?l=ro&amp;idc=278</t>
  </si>
  <si>
    <t>https://facebook.com/CancilleriaCol</t>
  </si>
  <si>
    <t>El Ministerio de Relaciones Exteriores y Movilidad Humana es una institución pública moderna, transparente, eficiente y con un sistema de gestión orientado al servicio ciudadano; responsable de promover políticas de desarrollo con base en la cooperación e intercambio internacional y ejecutar su política exterior en lo político, diplomático, movilidad humana,
integración latinoamericana, con la finalidad de responder a los intereses del pueblo ecuatoriano.</t>
  </si>
  <si>
    <t>El Ministerio de Relaciones Exteriores y Movilidad Humana
es el rector de la política internacional y es responsable de la gestión y coordinación de la misma, promoviendo la integración latinoamericana, respondiendo a los intereses del pueblo ecuatoriano, al que le rendirá cuentas de sus decisiones y acciones en cumplimiento de los principios constitucionales y de las normas del derecho internacional, en el marco de los planes nacionales de desarrollo.</t>
  </si>
  <si>
    <t xml:space="preserve">+ 593 22 993 200 </t>
  </si>
  <si>
    <t>https://facebook.com/CancilleriaPeru</t>
  </si>
  <si>
    <t>https://www.facebook.com/CancilleriaPeru/</t>
  </si>
  <si>
    <t>El Ministerio de Relaciones Exteriores del Perú (la Cancillería), desde su creación en 1821, tiene la responsabilidad de contribuir a la elaboración y ejecución de la Política Exterior del Estado. 
La Cancillería ha sido, históricamente, un factor de desarrollo y cohesión de la identidad nacional. 
Está integrada por los funcionarios del Servicio Diplomático de la República, y por personal profesional especializado y técnico administrativo.</t>
  </si>
  <si>
    <t>Jirón Lampa 545, Cercado de Lima.
Website: www.rree.gob.pe
Twitter: www.twitter.com/CancilleriaPeru
YouTube: www.youtube.com/user/MREPeru
Flickr: http://www.flickr.com/photos/cancilleriadeperu</t>
  </si>
  <si>
    <t>Desarrollar una política exterior activa, a través de la representación, negociación y promoción de los intereses de seguridad, desarrollo, inclusión del Estado e integración, particularmente latinoamericana, entre otros, así como la protección de los nacionales en el exterior.
Nuestros objetivos estratégicos son:
1. Promover y defender en el ámbito regional los intereses del Perú con miras a la afirmación de su soberanía e integridad territorial, la consolidación de su seguridad integral, el comercio y la cooperación con los países vecinos, así como la integración a nivel subregional y regional. 
2. Profundizar las relaciones con otras regiones en el ámbito bilateral y multilateral, garantizando la independencia política frente a bloques ideológicos,  a fin que la política exterior constituya un instrumento esencial para el desarrollo sostenible del país, con énfasis en el apoyo a la superación de la pobreza y la inclusión social, a través de la integración y promoción económica, la industrialización, la adquisición de ciencia y tecnología, y la cooperación.
3. Profundizar la política de protección y atención a las comunidades peruanas en el exterior, facilitando su inserción en los países de destino, el desarrollo de sus vínculos con el Perú y su contribución al desarrollo, así como su participación en la política nacional.
4. Fortalecer la imagen del Perú a través de la defensa de nuestro patrimonio y la promoción en el exterior de nuestro acervo cultural.
5. Fortalecer las capacidades de gestión institucional a través de la formación de recursos humanos que se expresen en niveles óptimos de eficiencia y eficacia en la conducción de las relaciones exteriores del Estado.</t>
  </si>
  <si>
    <t>https://facebook.com/Carlos-Agostinho-do-Rosário-328165980711185</t>
  </si>
  <si>
    <t>https://facebook.com/CasaPresidencial</t>
  </si>
  <si>
    <t xml:space="preserve">Pagina oficial en Facebook de Casa Presidencial, República de Costa Rica. </t>
  </si>
  <si>
    <t xml:space="preserve">Información oficial acerca del acontecer de la Presidencia de la República. </t>
  </si>
  <si>
    <t xml:space="preserve">http://www.flickr.com/people/casapres/
www.twitter.com/presidenciacr
www.twitter.com/presidentacr
www.youtube.com/casapresidencialcr 
www.ustream.tv/user/casapresidencialcr
http://issuu.com/casapresidencial
http://www.slideshare.net/redescasapres
</t>
  </si>
  <si>
    <t>https://facebook.com/CasaPresidencialdeHonduras</t>
  </si>
  <si>
    <t>Página Oficial de Facebook Presidencia de la República de Honduras
http://www.presidencia.gob.hn</t>
  </si>
  <si>
    <t>https://facebook.com/casarosadaargentina</t>
  </si>
  <si>
    <t>http://www.casarosada.gob.ar/</t>
  </si>
  <si>
    <t>Página Oficial de la Casa Rosada - Presidencia de la Nación</t>
  </si>
  <si>
    <t>Bienvenidos a la cuenta oficial de la Casa Rosada. Un lugar de encuentro para los argentinos que queremos un país mejor, un futuro con oportunidades para todos. 
Un canal de comunicación transparente, pacífico, donde todas las voces sean escuchadas y tomadas en cuenta.</t>
  </si>
  <si>
    <t>Balcarce 50, CABA 1064 Buenos Aires, Argentina</t>
  </si>
  <si>
    <t>https://facebook.com/CentralCommunicationsServiceOfKazakhstan</t>
  </si>
  <si>
    <t>https://facebook.com/cg.gov.ma</t>
  </si>
  <si>
    <t>https://facebook.com/compresidencemadagascar</t>
  </si>
  <si>
    <t>https://facebook.com/comradegonsalves</t>
  </si>
  <si>
    <t>https://facebook.com/ComunicacionEcuador</t>
  </si>
  <si>
    <t>https://facebook.com/ComunicadosGobiernodeHonduras</t>
  </si>
  <si>
    <t>(504)  2221-4545</t>
  </si>
  <si>
    <t>Antiguo Edif. de Cancillería, Edif. José  Cecilio del Valle Boulevard Juan Pablo II Tegucigalpa, Honduras, Tegucigalpa, Honduras</t>
  </si>
  <si>
    <t>https://facebook.com/courgrandducale</t>
  </si>
  <si>
    <t>Härzlech wëllkomm op der offizieller Facebook Säit vun der Cour Grand-Ducale.
Bienvenue sur la page officielle Facebook de la Cour Grand-Ducale de Luxembourg.
Herzlich willkommen auf der offiziellen Facebook Seite des Grossherzoglichen Hofes.
Welcome to the official Facebook page of the Grand-Ducal Court of Luxembourg.</t>
  </si>
  <si>
    <t>https://facebook.com/CubaMINREX</t>
  </si>
  <si>
    <t>https://facebook.com/CyprusMFA</t>
  </si>
  <si>
    <t xml:space="preserve">Ministry of Foreign Affairs - Official Page
Visit our website: www.mfa.gov.cy     /     Follow us on twitter:    @CyprusMFA         </t>
  </si>
  <si>
    <t>Welcome to the Official Facebook page of the Ministry of Foreign Affairs of the Republic of Cyprus, delivering our latest news. 
You can find further information on our website at www.mfa.gov.cy
The scope of this page is to provide an outline of the activities of the Ministry of Foreign Affairs of the Republic of Cyprus. This page will also make available updated information and news on the latest developments of Cyprus' foreign Policy. 
We aspire that this page will serve as an additional, modern mean of communication of the Ministry of Foreign Affairs with the public of Cyprus, overseas Cypriots and foreign visitors. 
The overall aim of this page is to be an interactive tool of information and communication. We are therefore receptive to suggestions that will make this page even more comprehensive in its content and user friendly in its navigation.</t>
  </si>
  <si>
    <t xml:space="preserve">Cyprus maintains very good relations with a considerable number of countries and the objective of its foreign policy is to have an active involvement in processes that aim to promote international cooperation, peace, stability, and sustainable development.
Cyprus has always been a dedicated supporter of human rights, the sovereignty and territorial integrity of States, and a strong advocate of international peace and security. Its geographic position enables it to play a role both in the Eastern Mediterranean region and within the European family. Its accession to the European Union initiated new era in its relations with third countries, thus becoming a bridge of communication between the European Union and these countries.
The Multilateral Affairs Department is the competent Division of the Ministry of Foreign Affairs for its relations with International Organisations and other Fora.
</t>
  </si>
  <si>
    <t>https://facebook.com/D.Grybauskaite</t>
  </si>
  <si>
    <t>https://facebook.com/DacicIvica</t>
  </si>
  <si>
    <t>Diplomirao je na Fakultetu političkih nauka u Beogradu.
Bio je prvi predsednik Mladih socijalista Beograda od 1990. godine i portparol SPS od 1992. do 2000. godine.
Funkciju predsednika Gradskog odbora SPS Beograda vršio je od 2000. do 2003. godine.
Bio je član Parlamentarne delegacije Narodne skupštine Republike Srbije u Parlamentarnoj skupštini Saveta Evrope. Bio je predsednik Poslaničke grupe u Narodnoj skupštini Republike Srbije i u Skupštini SRJ i savezni poslanik u Veću građana Savezne skupštine Savezne Republike Jugoslavije od 1992. godine. 
Vršio je funkciju ministra za informisanje u takozvanoj prelaznoj Vladi Republike Srbije od oktobra 2000. do januara 2001. godine. 
Bio je predsednik Košarkaškog kluba "Partizan" iz Beograda i potpredsednik Jugoslovenskog olimpijskog komiteta.
Predsednik je Socijalističke partije Srbije od decembra 2006. godine. 
Jula 2008. godine stupio je na dužnost prvog potpredsednika – zamenika predsednika Vlade Srbije i ministra unutrašnjih poslova.
Govori engleski i ruski jezik.
Oženjen, otac dvoje dece.</t>
  </si>
  <si>
    <t>https://facebook.com/danilomedinasanchez</t>
  </si>
  <si>
    <t>¡Viva la República Dominicana! Página oficial del Presidente constitucional de la República Dominicana.
Únete a RedD16: http://soy.d16.do</t>
  </si>
  <si>
    <t>https://facebook.com/DeptEstadoPR</t>
  </si>
  <si>
    <t>Siendo una de las instrumentalidades gubernamentales más importantes, el Departamento de Estado tiene la responsabilidad de fomentar las relaciones culturales, políticas y económicas entre Puerto Rico y  países extranjeros al igual que con otras jurisdicciones de los Estados Unidos de América. Además, realiza diversas funciones de carácter administrativo como lo son:
(1) Promulgar, publicar, certificar y vender las leyes y reglamentos del Gobierno de Puerto Rico;	
(2) Reglamentar el uso de la bandera y el escudo de Puerto Rico;	
(3) Expedir licencias para el ejercicio de profesiones u oficios reglamentado por el Estado a través de las Juntas Examinadoras	
(4) Preparar y custodiar diversos registros: cónsules; corporaciones y sociedades; marcas de fábrica; notarios y propiedad intelectual entre otros.
(5)Tramitar la solicitud de pasaportes de los ciudadanos de los Estados Unidos, tarea delegada por el Gobierno Federal;
(6) Coordinar los asuntos de índole protocolar que competen al Gobierno;
(7) Además, lleva un registro de los nombramientos gubernamentales hechos por el Primer Ejecutivo; promulga las proclamas emitidas por éste o por el Secretario de Estado y provee ayuda a personas que visitan la Isla con fines investigativos o educativos a través del negociado para Intercambio Cultural y Cooperación Técnica del Departamento.</t>
  </si>
  <si>
    <t>https://facebook.com/dfaphl</t>
  </si>
  <si>
    <t xml:space="preserve">This is the Official Page of the Department of Foreign Affairs, Republic of the Philippines.
</t>
  </si>
  <si>
    <t>This page is created to provide the general public various information about the DFA’s programs, projects and events. 
DFA reserves the right to do the following: 
(1)	remove from its page slanderous and defamatory posts, offensive comments, cuss words and racial insults;
(2)	delete attacks and allegations against any individual, company, institution or group;
(3)	remove advertisements, links to individuals, groups, company or institution.
DFA reserves the right to block anyone who fails to follow these rules and report them as spammers to the management of Facebook.</t>
  </si>
  <si>
    <t>https://facebook.com/didier-reynders-66985740526</t>
  </si>
  <si>
    <t xml:space="preserve">Diplomatie.Belgium is de officiële Facebook pagina van de Belgische Federale Overheidsdienst Buitenlandse Zaken, Buitenlandse Handel en Ontwikkelingssamenwerking. 
Diplomatie.Belgium est la page officielle du Service Public Fédéral, Affaires étrangères, Commerce extérieur et Coopération au Développement.
Diplomatie.Belgium ist die offizielle Facebookseite des Föderalen Öffentlichen Dienstes Auswärtige Angelegenheiten, Außenhandel und Entwicklungszusammenarbeit </t>
  </si>
  <si>
    <t xml:space="preserve">  </t>
  </si>
  <si>
    <t>https://facebook.com/DIRCOza</t>
  </si>
  <si>
    <t>https://facebook.com/DireccionGeneraldeInformacionPresidencial</t>
  </si>
  <si>
    <t xml:space="preserve">Página oficial de la Presidencia de la República del Paraguay.
www.presidencia.gov.py
</t>
  </si>
  <si>
    <t>https://facebook.com/Disisleri</t>
  </si>
  <si>
    <t>Türkiye Cumhuriyeti Dışişleri Bakanlığı resmi Facebook sayfası 9 Kasım 2010 itibariyle "hayran sayfası" olarak faaliyet göstermeye başlamıştır.   HOŞ GELDİNİZ</t>
  </si>
  <si>
    <t>+90 (312) 292 10 00</t>
  </si>
  <si>
    <t>https://facebook.com/Dmitry.Medvedev</t>
  </si>
  <si>
    <t>https://facebook.com/DOImalta</t>
  </si>
  <si>
    <t>The first Information Office in Malta was set up by the British Government in 1939. This office functioned as the island’s war information centre until the end of World War II in 1945 when it was closed down together with the dissolution of the Ministry of Information in the U.K. 
Eventually a Public Relations Office was set up and three years later it was amalgamated with the Government Tourist Bureau. In 1955 the Information office made its reappearance under the guise of the Central Office of Information reclaiming its place from the Public Relations Office. The C.O.I’s main task was to concentrate the information services that had mushroomed within the other government departments since its demise. By 1957 it had expanded in such a way that it merited the title Department of Information and Tourist Services. In a few months the information services gained their independence from the touristic ones and came to stand alone as the Department of Information we know today.</t>
  </si>
  <si>
    <t xml:space="preserve">Our goal is to provide the public with up-to-date, comprehensive and meaningful information on Government policies, services and activities as well as on matters of public interest, and to promote a proper image of the public service and the country.
</t>
  </si>
  <si>
    <t xml:space="preserve">Government Gazette: Compilation and publication of the Malta Government Gazette, and other printed and electronic matter dealing with Government services and matters of public interest.
Photo Archives: The archives house a vast collection of contemporary as well as past photographic material which dates back to an era when DOI was practically the only information gathering medium on the island. A selection of archived photos can be viewed at  DOI Photo Gallery.  Photographs depicting a wide variety of topics such as International Meetings and Conferences held in Malta, State and Official Visits, National Festivities, National Heritage and aerial views of Malta are available for sale to the general public.
Sale of Publications: Publications sold at DOI include Official Government Publications, the Malta Government Gazette, Budget Speeches, Financial Estimates and Economic Surveys, Bills tabled in Parliament, Acts of Parliament, Legal Notices, Statistical reports and others miscellaneous publications.  
The Department's Sales Office is open on working days from Monday to Friday as follows:
1st October - 15th June: 8.15hrs - 15.15hrs
16th June - 30th September: 8.15hrs - 12.30hrs
</t>
  </si>
  <si>
    <t>https://facebook.com/Dr.AbdullahAbdullah</t>
  </si>
  <si>
    <t xml:space="preserve">His Excellency Dr. Abdullah Abdullah
Chief Executive of the Islamic Republic of Afghanistan
His Excellency Dr. Abdullah Abdullah is the Chief Executive of the Islamic Republic of Afghanistan.  He is a key political figure in Afghanistan, who has held numerous prominent positions during his illustrious political career.
From the early days of the Afghan national resistance against the invasion of the former Soviet Union, up to the campaign for the liberation of his country from the forces of terrorism and extremism, Dr. Abdullah’s relentless efforts for the independence of his people, and commitment to peaceful and democratic Afghanistan has earned himnational and international recognition.
In 1992, Dr. Abdullah served as spokesperson for the Defense Ministry of the Islamic State of Afghanistan. In 1996, he was appointed as Deputy Minister of Foreign Affairs in the Government of the Islamic State of Afghanistan, which was recognized by the United Nations, and the international community as Afghanistan’s legitimate Government, despite the Taliban’s occupation of the capital, Kabul. In 1998, Dr. Abdullah assumed the position of Minister of Foreign Affairs of Afghanistan. 
On December 22, 2001, during the historic Intra-Afghan talks in Bonn, Germany, he was selected to serve as Minister of Foreign Affairs in the Interim Administration of Afghanistan, led by President Karzai.  In June 2002, Dr. Abdullah was again confirmed as Minister of Foreign Affairs of the Transitional Islamic State of Afghanistan in the Loya Jirga (grand council which chose Afghanistan’s new transitional government.)
Dr. Abdullah subsequently served as Minister of Foreign Affairs of the Islamic Republic of Afghanistan from 2001-2006. In that capacity, he eloquently and successfully advocated Afghanistan’s foreign policy at the international level and played a vital role in the consolidation of Afghanistan’s foreign relations with the broader international community.
In 2006, after leaving his post as Foreign Minister, Dr. Abdullah served as Secretary General of the Massoud Foundation.
With an aim of bringing change and hope to the Afghan people, Dr. Abdullah registered as a candidate for Afghanistan’s 2009 Presidential elections. He ran a highly impressive and dynamic Presidential campaign under the slogan of “Hope and Change,” and a national agenda to institute needed reforms, and change Afghanistan’s system of governance from a Presidential to a Parliamentary system.
Unofficial and non-certified electoral results of Afghanistan’s 2009 Presidential elections were announced on September 16, 2009, showing that Dr. Abdullah was in second position of the total votes cast. A second round runoff election was called between the Incumbent President Hamid Karzai and Dr. Abdullah after the Electoral Complaints Commission concluded a vigorous investigative process and disallowed a large number of questionable ballots, with the majority of those votes being in favor of the Incumbent Hamid Karzai.
On November 1, 2009, he announced he would not participate in the second round of the Presidential elections, due to concerns regarding the independent electoral commission’s ability to ensure transparency and credibility of the 2nd round of polls. 
Following the conclusion of the electoral process, Dr. Abdullah broadened his “Coalition for Hope and Change” political party, forming the National Coalition of Afghanistan (NCA). This new party was the onlyDemocratic Opposition to the Government of Hamid Karzai.  In this capacity, he was actively involved in the political process, working with other political figures around the country to institute constructive reform to strengthen governance in governmental institutions, and reform Afghanistan’s political system. 
In October 2014, Dr. Abdullah Abdullah announced his nomination for the third-ever presidential elections in Afghanistan’s history, which took place on 5 April 2014.  The result of the vote count had him significantly ahead of all candidates, having secured 44.65% of ballots casted throughout the country. Based on the decision of the Independent Electoral Commission (IEC), a second round of vote was held on 14 June 2014. However, the second round of polls encountered significant technical difficulties, which led toa political agreement between the two top vote getters.
That agreement led to the formation of Government of National Unity, with Dr. Ghani serving as President, and Dr. Abdullahas Chief Executive of the Islamic Republic of Afghanistan. 
Dr. Abdullah has earned the respect and admiration of world leaders, and his own people, as a voice of moderation and consensus. He is consistently working for peace and reconstruction in Afghanistan, and to implement a comprehensive reform agenda to achieve a peaceful, stable, democratic and prosperous Afghanistan. 
Dr. Abdullah believes there is no greater priority than regaining the trust of the Afghan people, who have waited too long for an effective Government, that is able improve the plight of Afghanistan’s citizens. 
Dr. Abdullah is married and has three daughters and one son. He is fluent in Dari, Pashto and English, and is proficient in Arabic and French.
</t>
  </si>
  <si>
    <t>https://facebook.com/dr.aljaffaary</t>
  </si>
  <si>
    <t>تواصل مع الدكتور إبراهيم الأشيقر الجعفري على انستغرام على الحساب
aljaffaary</t>
  </si>
  <si>
    <t>وُلِد السيد إبراهيم الأشيقر الملقب بـ (الجعفري) في مدينة كربلاء المقدسة ليلة المولد النبوي الشريف عام 1947م - 1368هـ، وعاش في كنف والديه، السيد عبد الكريم بن حمزة الأشيقر والعلوية رحمة بنت السيد هاشم الأشيقر حتى فارق والده الحياة، وكان في الرابعة من العمر، ليبقى في ظل أمه السيدة (رحمة) التي كانت بالفعل رحمة في حياته، واستمرت رعايتها له حتى وقت متأخر إلى حين وفاتها عام 1980م؛ لتظل تحيا في عقله فكرة متجددة، وتنبض في قلبه عاطفة "متدفقة".
بدأ رحلته الدراسية في مدرسة السبط الابتدائية للبنين عام 1952م، نظراً لقربها من داره الواقع في منطقة "باب السلالمة" إلى جانب الدراسة عمل مع شقيقه الأكبر السيد محمد في التجارة بسوق كربلاء حيث وفـّر السوق فرصة للجعفري بأن يواصل نشاطاً اجتماعياً خاصّاً، لتكون تجربة السوق وعملية التعامل مع الناس عاملاً مساهماً في بناء شخصيته الاجتماعية والقيادية، فلم يكن السوق مصدر رزق، ومجالاً للتعامل مع الناس وحسب إنما شكـّل حافزاً ليطلع على عالم الاقتصاد والسياسة، ورافداً من روافد الثقافة السياسية؛ لما للعلاقة بين السياسة وتقلباتها وبين أسعار البضائع في السوق من ترابط، وتأثير.
عاش الجعفري أجواء انقلاب تموز عام 1958م، وما تبعه من التطورات والتداعيات السياسية والإعلامية والاجتماعية المختلفة.
بدأت مطالعاته الثقافية من خلال قراءته الكتب الإسلامية والأدبية منذ مطلع الستينيات، فانشغل في مطالعاته بادئ الأمر بالقرآنيات، من كتب تفسير القرآن وأسباب النزول وغيرهما، وأخذ بالتوسع المعرفي شيئاً فشيئاً، ولما سطع نجم الإمام الشهيد السيد محمد باقر الصدر الذي أتحف المكتبة الإسلامية بالثقافة والسيرة الواعية للواقع والمجتمع والرسالة، وانفتح الإمام محمد باقر الصدر (رحمه الله) على العراق كله بعقله وقلبه وقلمه، فنهل الشباب من طلاب الجامعات من معين علمه الوافر، ثقافة الصمود والبناء والدعوة، وكان السيد الجعفري أحد أولئك الشباب العراقي.
انخرط في صفوف حزب الدعوة الإسلامية عام 1966م وفي العام ذاته حصل على أعلى معدل على مستوى المحافظة؛ أهّله لدخول كلية الطب/ جامعة الموصل، وكان بيت الجعفري (في الموصل) أيام الدراسة خلية نحل دائبة الإنتاج، يستقبل الوافدين باستمرار، وانعكس سلوكهم وأخلاقهم على من جاورهم من أهالي الموصل الكرام، وامتد إلى المنطقة برمتها؛ مما جعل صيته (بيت الشيعة) يذيع بشكل واسع، وحين تناهى ذلك إلى سمع السيد الصدر توقف عنده باعتزاز.
تحركت علاقة الجعفري وإخوانه، بالإخوة أبناء السُنة على ثلاثة صُعُد، صعيد العلاقات العامة، وصعيد المتدينين، وصعيد العلاقات الخاصة.
فعلى الصعيد العام امتدت العلاقة إلى حيث امتدّ الوسط الطلابي في الكلية من دون أن يحول بينها وبين الآخرين حاجز الاختلاف المذهبي أو السياسي أو القومي بل كان يجد فيهم السند القوي لما يجري على مسرح الحياة في الكلية من سجالات ساخنة، حتى مع الأساتذة.
تزوّج الجعفري عام 1974م، وأنجب ولدين وثلاث بنات.
غادر العراق مع عائلته عام 1980م في شهر شباط متوجهاً إلى سورية، ومنها إلى إيران حتى عام 1990م، ثم قطن في لندن حتى عام 2003.
محطات مهمة في حياة الدكتور الجعفري:
ـ انتـُخِب عام 1980م عضواً في قيادة حزب الدعوة الإسلامية.
ـ شارك في تأسيس المجلس الأعلى الإسلامي، وتصدّى لمسؤولية رئاسة المكتب التنفيذي واللجنة التنفيذية.
ـ انتـُخِب ناطقاً رسمياً لحزب الدعوة الإسلامية.
ـ شارك في تشكيل وقيادة (لجنة العمل المشترك للمعارضة العراقية) عام 1991.
ـ شارك في تشكيل وقيادة (المؤتمر الوطني العراقي الموحد) عام 1992.
ـ شارك في المؤتمرات السياسية العراقية، مثل: (مؤتمر بيروت عام 1991).
ـ دعا إلى تشكيل (ائتلاف القوى الوطنية العراقية) عام 2002م، الذي انضمت إليه (17) من القوى السياسية إلى جانب (33) شخصية سياسية عراقية بمثابة (الهيئة العامة)، وطرح الائتلاف حينها ورقة عمل سياسية ركزت على تحقيق أهداف أساسية منها العمل من أجل إسقاط نظام صدام، وتحرير إرادة الشعب العراقي، وإقامة الحياة الحرة الكريمة في العراق على أساس الآليات الديمقراطية، واستيعاب جميع مكونات الشعب، وكان لائتلاف القوى الوطنية أثر بالغ في الأوساط السياسية الدولية والإقليمية المعنية بالشأن العراقي في تلك المرحلة.
ـ بعد سقوط نظام صدام عام 2003م شغل الدكتور الجعفري منصب أول رئيس لمجلس الحكم في آب 2003م، ومن أبرز المنجزات:
ـ تشكيل لجنة إعداد مسودة الدستور العراقي الجديد من 25 عضواً، وأسس لعلاقات سياسية للعراق الجديد حيث زار سبع دول عربية في سبعة أيام، إضافة إلى زيارته الجامعة العربية في القاهرة، كما شكـّل الجعفري أول حكومة عراقية في العهد الجديد.
ـ شغل الدكتور الجعفري منصب نائب رئيس الجمهورية عام 2004م؛ إذ ساهم بفعالية في تعزيز التوافق والانسيابية في العمل الحكومي بين رئاسة الجمهورية ورئاسة الوزراء، ووجد في عمله كنائب لرئيس الجمهورية فرصة لترسيخ العلاقات العراقية ـ الإقليمية عامة، والعلاقات العراقية ـ العربية خاصة.
ـ شغل منصب رئيس الوزراء عام 2005م كأول رئيس وزراء منتخب للعراق؛ إثر الانتخابات العامة التي شارك فيها الشعب العراقي بكثافة منقطعة النظير في الـ 30 من كانون الثاني 2005م، واستطاع الجعفري أن يحقق منجزات كبيرة خلال سبعة أشهر من حكمه، بالبدء بوضع المشاريع التنموية والواسعة؛ للنهوض بالبنى التحتية المنهارة، وتجاوز التركة الثقيلة التي خلفها النظام المقبور على صعيد التعليم والصحة، والجيش والشرطة، والنقل والاتصالات، ومؤسسات حقوق الإنسان والمجتمع المدني، إضافة إلى تهيئة مستلزمات إعداد وإقرار (الدستور الدائم) للعراق، وانتخاب (مجلس النواب) الدائم بنجاح في إجراءات أمنية ناجحة أيضاً فضلاً عن اهتمامه الكبير بالإعلاميين والشعراء والفنانين والأدباء والرياضيين، كما أرسى دعائم دولة القانون، وساهم في ترسيخ أسس الدولة العراقية الجديدة.
ـ أعلن عن انطلاق تيار الإصلاح الوطني في 31/5/2008م. والذي شارك في أول موسم انتخابي لمجالس المحافظات في كانون الثاني 2009م.
- يشغل حاليا رئاسة التحالف الوطني العراقي.
ـ له عدة بحوث ومؤلفات ودراسات.
ـ كما كتبت عنه عدة كتب، منها: (تجربة حكم)، و(حزام النار)، و(المخاض العراقي) ،و(خطاب الدولة).</t>
  </si>
  <si>
    <t>https://facebook.com/Drensour</t>
  </si>
  <si>
    <t>Martial Status: Married
Children : Eight / 6 Boys 2 Girls</t>
  </si>
  <si>
    <t>https://facebook.com/DrHageGeingob</t>
  </si>
  <si>
    <t>https://facebook.com/drkeithcmitchell</t>
  </si>
  <si>
    <t xml:space="preserve">Keith Claudius Mitchell was born to Dowlyn and Catherine Mitchell in the tiny west coast village of Brizan on November 12th, 1946. He shares his life with his wife Marietta and their son, Olinga. He received his primary education at the Happy Hill R.C. School and the J.W. Fletcher Memorial School. He went on to the Presentation Brothers College then to the University of the West Indies, Cave Hill Campus, where he gained a Bachelor of Science Degree in Mathematics and Chemistry, followed by a Masters Degree from Howard University and a Doctorate in Mathematics and Statistics from the American University.
This avid cricketer was a member of the Grenada Cricket Team and in 1973 became its Captain as well as that of the combined Windward and Leeward Youth Cricket Team. He taught at the Presentation Brothers College and was a Mathematics Professor at Howard University. He also worked a professional consultant to many Government Departments and private corporations in the United States.
In 1984, he was elected Member of Parliament for St. George North West, and has held it ever since, becoming the longest serving member of the House. In 1989 he was elected Political Leader of the NNP and successfully led the party to victory in 1995. During his first term as Prime Minister he served as Minister of National Security and was the holder of nine other portfolios. His untiring hard work and dedication paid off when in the 1999 General Elections, he lead the NNP into winning all fifteen Constituencies and became the first Prime Minister since Independence to win two consecutive General Elections.
</t>
  </si>
  <si>
    <t>https://facebook.com/EdgarChagwaLungu</t>
  </si>
  <si>
    <t xml:space="preserve">1 Independence Road Lusaka, 10101 Lusaka </t>
  </si>
  <si>
    <t>https://facebook.com/edirama.al</t>
  </si>
  <si>
    <t>+973 80008001</t>
  </si>
  <si>
    <t>https://facebook.com/egovmaroc</t>
  </si>
  <si>
    <t>Page officielle du Programme e-Gouvernement du Maroc.
الصفحة الرسمية لبرنامج الحكومة الالكترونية للمغرب</t>
  </si>
  <si>
    <t>https://facebook.com/egyptgovportal</t>
  </si>
  <si>
    <t>الصفحة الرسمية لبوابة خدمات الحكومة المصرية  -  www.egypt.gov.eg</t>
  </si>
  <si>
    <t>تحتوي بوابة الحكومة المصرية على العديد من الخدمات الحكومية منذ إطلاقها رسمياً عام 2004، و روابط متعددة مع المواقع الإلكترونية لمختلف الجهات الحكومية والمحافظات. وذلك بهدف ضمان كفاءتها وفعاليتها، ولتحقيق رضاء المستخدمين من مواطنين وأجانب وأعمال، وتلبية للطلب المتنامي على الخدمات الحكومية الالكترونية.
ويتم تطوير البوابة بشكل مستمر للتوافق مع المعايير الدولية لشبكة الأمم المتحدة الإلكترونية لمؤسسات بناء القدرة الإقليمية في مجال الإدارة العامة والمالية UNPAN، مما يحسن من ترتيب مركز الحكومة المصرية بين مختلف دول العالم. وكذلك وضع المعايير المطلوبة للمواقع الإليكترونية الحكومية لتتوافق مع المعايير الدولية.</t>
  </si>
  <si>
    <t>السادة أعضاء الصفحة الرسمية لبوابة الحكومة المصرية، رجاء الالتزام بشروط المشاركة كما يلي:
• الامتناع عن نشر أية مادة قد تشكل تعدياً على حقوق الآخرين (كالإساءة أو القذف أو انتهاك المقدسات... الخ) أو تشكل تحريضاً على العنف أو الكراهية أو غير ذلك مما يخالف القوانين العامة.
• الامتناع عن نشر أي تعليقات ذات ميول سياسية أو دينية، حيث أن هذه الصفحة حيادية وتناقش فقط كل ما يتعلق بأداء الخدمات الحكومية، وليس الغرض منها مناقشة مواقف أو قضايا سياسية أو دينية.
• الامتناع عن نشر تعليقات غير ذات صلة بمحتوى وخدمات بوابة الحكومة المصرية، حيث أن الهدف الأساسي من هذه الصفحة إتاحة تلقي المقترحات، والشكاوى، والاستفسارات المتعلقة بجميع خدمات الحكومة المصرية.
• الامتناع عن نشر بيانات إعلانية عن أشخاص أو مؤسسات أو منتجات بغرض الإعلان أو ترويج السلع التجارية أو أي غرضٍ آخر، وسيتم حذف أي تعليقات إعلانية بشكل تلقائي دون الرجوع لصاحب التعليق.
• الامتناع عن نشر بيانات شخصية خاصة بالمشارك أو أي شخصٍ آخر (الاسم، رقم الهاتف/المحمول، العنوان، البريد الالكتروني، رقم البطاقة الشخصية، رقم بطاقة الائتمان... الخ)، وذلك لحماية خصوصية المشاركين.
• الامتناع عن نشر أي تعليقات أو مادة في كل ما قد يعد أمراً غير مشروعاً.
إن مشاركتك على هذه الصفحة تعتبر قبولاً منك بهذه الشروط، والتزامك بها، وسيتم إلغاء عضوية من يقوم بنشر ما يخالف تلك الشروط لأكثر من مرتين.</t>
  </si>
  <si>
    <t>https://facebook.com/elysee.fr</t>
  </si>
  <si>
    <t>https://facebook.com/EnriquePN</t>
  </si>
  <si>
    <t xml:space="preserve">Nací el 20 de julio de 1966. Soy licenciado en Derecho por la Universidad Panamericana y tengo una maestría en Administración por el Instituto Tecnológico y de Estudios Superiores de Monterrey (ITESM).
Comencé a trabajar en el servicio público desde joven, ocupando diversas posiciones en el Gobierno del Estado de México. De 2000 a 2002, fui Secretario de Administración, y de 2003 a 2004 Diputado del Distrito XIII en la LV Legislatura del Estado de México.
En 2005, contendí por la gubernatura del Estado de México. Durante mi campaña recorrí el estado, escuchando a la gente y firmando compromisos de obra pública ante notario.
De esta manera, fui electo gobernador del Estado de México, la entidad federativa más poblada del país. 
Bajo mi responsabilidad se hicieron importantes avances en materia de infraestructura y servicios públicos, como el de salud. Además, se llevó a cabo una reestructuración de las finanzas del estado, con lo cual se logró reducir la deuda pública y aumentar el gasto dirigido a obras y programas, sin necesidad de aumentar impuestos.
Al concluir mi gestión como Gobernador, en 2011, compartí mis deseos por contender a la Presidencia de la República. Tras una intensa campaña electoral, caracterizada por la firma de compromisos nacionales y estatales, obtuve el triunfo el 1º de julio de 2012.
A partir del 1 de diciembre, soy Presidente de los Estados Unidos Mexicanos. El objetivo principal de mi gobierno es llevar a México a su máximo potencial. </t>
  </si>
  <si>
    <t>https://facebook.com/ernasolberg</t>
  </si>
  <si>
    <t>https://facebook.com/EstrategiayComunicacionesHn</t>
  </si>
  <si>
    <t>https://facebook.com/eucouncil</t>
  </si>
  <si>
    <t xml:space="preserve">THE COUNCIL OF THE EU is the EU institution where ministers from the 28 EU countries sit. There are 10 different Council configurations, covering the whole range of EU policies. 
The composition and frequency of Council meeting varies depending on the policy area. For example, economic and finance ministers meet once a month in the Ecofin Council. The environment ministers participate in the Environment Council meetings, which take place about four times per year.
The Council adopts legislative acts (regulations, directives, etc.), in many cases in co-decision with the European Parliament, coordinates member states' policies, concludes international agreements on behalf of the EU and adopts the EU's budget together with the European Parliament.
The EU's 28 countries take it in turn to chair the Council for a period of six months each. During this period, the presidency chairs meetings at every level (except the foreign affairs policy area), proposes guidelines and draws up the compromises needed for the Council to take decisions.
THE EUROPEAN COUNCIL brings together heads of state or government of every EU country, the president of the European Commission and the president of the European Council, who chairs the meetings. The meetings or summits take place at least four times per year.
The European Council provides the EU with the necessary impetus for its development. It identifies major issues to be dealt with by the Council in each of the policy areas under its responsibility. Decisions of the European Council are taken by consensus. It has no power to pass laws.
With the Treaty of Lisbon (2009), it became an official institution with permanent president, elected for two and a half years (renewable once). Herman Van Rompuy, former prime minister of Belgium is the first one to occupy the post. The president makes sure the decisions of the European Council are subsequently put into practice.
</t>
  </si>
  <si>
    <t xml:space="preserve">MODERATION POLICY:
We invite you to contribute to conversations on this page and to share its content. We are pleased to see different views and opinions expressed, but we cannot accept comments which are either offensive in themselves or clearly offensive to other users. 
We would therefore like to ask you to avoid insulting language, to show respect to fellow page users and the fundamental principles we all share (so no racism, no xenophobia, no call to violence, no discrimination based on religion, ethnic origin, gender, sexual orientation etc).
We would also like to ask you to post comments that stick to the subject of the status update. You can share links to other pages, but please don't post link-only comments. Spam will not be tolerated. We reserve the right to delete all comments that don't respect the above guidelines.
PHOTOS: 
All photos published on this page are copyright of the European Union, unless stated  otherwise. Photos ©European Union can be used freely provided the source is acknowledged. They must not be used for commercial purposes or in an offensive way.
QUESTIONS:
If you have questions about the Council of the European Union or the European Council, contact our Public Information Service @ http://www.consilium.europa.eu/contacts/info-public. 
DISCLAIMER: 
The content published on this page by the "Council of the EU" is drawn up under the responsibility of the social media team of the Council General Secretariat and the views expressed do not necessarily reflect the views of the Council of the EU.
</t>
  </si>
  <si>
    <t xml:space="preserve">The Council of the European Union is a key EU decision-maker. Its decisions are directly relevant to the lives of EU citizens and have impact on the international stage.
The European Council  is the driving force behind the European Union - it determines the EU's guidelines and political priorities.
</t>
  </si>
  <si>
    <t>https://facebook.com/EuropeanCommission</t>
  </si>
  <si>
    <t xml:space="preserve">The Commission is independent of national governments. Its job is to represent and uphold the interests of the EU as a whole. 
</t>
  </si>
  <si>
    <t>https://facebook.com/europeancouncilpresident</t>
  </si>
  <si>
    <t>On 30 August 2014, EU heads of state or government elected me as President of the European Council. I started in this job on December 1, 2014 for an initial term of 2,5 years. 
From November 2007 to September 2014 I served as Prime Minister of Poland. I was the longest serving PM of the Third Republic of Poland and the first Prime Minister to be re-elected since the fall of communism in Poland. Before that, I was active in the Polish Senate and Sejm (Lower House of Parliament).
I studied history at the Faculty of Humanities of the University of Gdańsk, where I was one of the creators of the Students Solidarity Committee. I have worked as a journalist and for seven years, I earned my living as a manual labourer in the “Świetlik” co-operative.
I was born in Gdańsk on 22 April 1957. I am married and have two children: daughter Katarzyna and son Michał.</t>
  </si>
  <si>
    <t>As European Council President, I chair and drive forward the work of the European Council, where 28 EU heads of state or government meet. Finding compromises is an important part of my job. I also represent the EU externally, for example at high-level summits like the G7 and G20, the United Nations General Assembly and various multilateral summits (EU-US, EU-China, EU-Africa etc.).
I come to Brussels from a country that strongly believes in the sense of a united Europe, and I am deeply convinced that there is no credible alternative to the EU.</t>
  </si>
  <si>
    <t>https://facebook.com/EuropeanExternalActionService</t>
  </si>
  <si>
    <t xml:space="preserve">Official Facebook page of the European External Action Service (EEAS) </t>
  </si>
  <si>
    <t>1 January 2011</t>
  </si>
  <si>
    <t xml:space="preserve">The role of the EEAS is to coordinate the European Union's (EU) foreign and security policies. Its purpose is to bring greater coherence, consistency and coordination to the foreign and security polices of the EU. This will enable Europe and its 500 million citizens to speak with a stronger voice in world affairs and promote European values like democracy, human rights, peace building, good governance and multilateralism. 
The Head of the External Action Service is Federica Mogherini, High Representative for Foreign Affairs and Security Policy, who is also Vice-President of the European Commission. Ensuring the consistency and coordination of the EU’s policies towards the rest of the world is the key task of this post. The High Representative can propose and implement policy although the actual making of EU foreign policy is the responsibility of the monthly meeting of EU Foreign Ministers – the Foreign Affairs Council - which is chaired by Federica Mogherini. The EEAS supports the work of the High Representative, as well as that of the President of the Council, and President of the European Commission, when they deal with International issues. 
The EEAS has its Headquarters in Brussels and is responsible for running 139 EU Delegations and Offices around the world which represent the EU and its citizens worldwide. Maintaining political dialogue, administering development aid, overseeing EU trade issues and building cultural contacts, are just some of the tasks undertaken by EU Delegations whose staff comes from a number of different departments of the External Action Service and the European Commission. 
The creation of the EEAS is one of the most significant changes introduced by the Treaty of Lisbon which entered into force on 1 December 2009. The EEAS was created by the merger of the external relations departments of the European Commission and the Council and by some diplomatic staff from the EU’s 28 countries. 
</t>
  </si>
  <si>
    <t xml:space="preserve">Moderation policy: 
We welcome a wide variety of political views expressed on the page although what we cannot accept insulting or offensive comments – either in themselves or towards other users. We kindly ask that you show respect towards fellow page users and use language that is appropriate and suitable. We would also encourage you to keep to comments that relate to the subject of the status. We will not tolerate any comments that are racist, xenophobic or that call for violence or any form of discrimination based on religion, gender or ethnic origin. We reserve the right to remove comments and block any users who breach our basic principles. Comments and status updates do not necessarily reflect the official views of the EEAS, the EU or of the High Representative/Vice-President. 
For more information below are the terms of use of Facebook.
http://www.facebook.com/terms.php
</t>
  </si>
  <si>
    <t xml:space="preserve">The EU’s external policies, strategies, instruments and missions – overseen by the European External Action Service – have four key aims. They support stability, promote human rights and democracy, seek to spread prosperity, and support the enforcement of the rule of law and good governance. The policy mix is wide, ranging from bilateral agreements to guidelines and legislation. It also coordinates the EU’s response to crises and cooperates with the European Commission on some areas of common interest.
The EEAS also coordinates the EU's Common Security and Defence Policy (CSDP) under which 27 civilian and military missions are currently taking place. They are involved in a wide range of activities from safeguarding and implementing peace agreements (as in Bosnia-Herzegovina) to patrolling the coast of Somalia intercepting pirates who pose a threat to maritime safety. For further information on these and other CSDP missions please consult; http://www.eeas.europa.eu/cfsp/index_en.htm
</t>
  </si>
  <si>
    <t>https://facebook.com/f.mogherini</t>
  </si>
  <si>
    <t xml:space="preserve">Welcome to the official page of Federica Mogherini
More here:
http://ec.europa.eu/commission/2014-2019/mogherini_en
http://www.eeas.europa.eu/
</t>
  </si>
  <si>
    <t>Sono nata a Roma il 16 giugno del 1973, sono sposata con Matteo e mamma di due magnifiche bimbe, Caterina (del 2005) e Marta (del 2010).
Dal 1 Novembre 2014 sono l'Alto rappresentante dell'Unione per gli affari esteri e la politica di sicurezza e Vice Presidente della Commissione Europea. Sono stata Ministro degli Affari Esteri dell’Italia da febbraio a ottobre 2014 e membro del Parlamento italiano (nella Camera dei Deputati), dove sono stata eletta per la prima volta nel 2008.
In veste di parlamentare, sono stata Presidente della delegazione italiana all’Assemblea parlamentare della NATO e Vicepresidente del suo comitato politico (2013-2014), membro della delegazione italiana all’Assemblea parlamentare del Consiglio d’Europa (2008-2013), segretario della commissione Difesa (2008-2013) e membro della commissione Affari esteri. Ho anche svolto l’incarico di coordinatrice del gruppo interparlamentare per la Cooperazione allo sviluppo.
Sono socia dello IAI (Istituto Affari Internazionali), membro del Consiglio per le relazioni fra Italia e Stati Uniti, e fellow del German Marshall Fund for the United States. Faccio parte del Consiglio dell’European Leadership Network for Multilateral Nuclear Disarmament and Non-Proliferation (ELN) e del Consiglio Internazionale della rete dei Parlamentari per la Non-proliferazione e il Disarmo Nucleare (PNND).
Sono stata parte degli organismi dirigenti del Partito Democratico fin dalla sua fondazione, nel 2007, prima in qualità di responsabile per le Riforme istituzionali, in seguito come membro della Segreteria nazionale e nel 2013-2014 in veste di responsabile per gli affari europei e internazionali. In precedenza, nei Democratici di Sinistra, sono stata responsabile delle Relazioni Internazionali, curando in particolare i rapporti con i Democratici americani, il PSE, il Forum Sociale Mondiale ed Europeo, i movimenti per la pace.
Negli anni precedenti sono stata Vicepresidente dello European Youth Forum e della Ecosy (l'organizzazione dei giovani socialisti europei), membro della Segreteria del Forum della Gioventù della FAO, responsabile Università e poi Esteri della Sinistra giovanile. 
Negli anni '90 ho seguito, da volontaria Arci, le campagne nazionali ed europee contro il razzismo e la xenofobia ("Nero e non solo!" e "All different, all equal" del Consiglio d'Europa). In quegli stessi anni, dopo la maturità classica e qualche lavoretto da call center, mi sono laureata con lode in Scienze Politiche, con una tesi sull'Islam politico fatta durante l'Erasmus all'Istitut de Recherche e d'Etudes sur le Monde Arabe et la Méditerranée (IREMAM) di Aix-en-Provence, in Francia. Parlo correntemente inglese e francese, e solo un po' lo spagnolo.
I was born in Rome on June 16, 1973. I am married to Matteo and have two daughters, Caterina (born 2005) and Marta (2010).
I am the High Representative of the European Union for Foreign Affairs and Security Policy and Vice-President of the European Commission since 1st November 2014. I was the Italian Minister for Foreign Affairs from February to October 2014 and a Member of the Italian Parliament (Chamber of Deputies), where I was elected for the first time in 2008.
During my terms in parliament, I was the Head of the Italian Delegation to the NATO Parliamentary Assembly and Vice-President of its Political Committee (2013-2014); member of the Italian Delegation to the Parliamentary Assembly of the Council of Europe (2008-2013); Secretary of the Defence Committee (2008-2013) and member of the Foreign Affairs Committee. I also coordinated the Inter-Parliamentary Group for Development Cooperation.
I have been in the leadership of the Democratic Party since it was founded, in 2007: first as Secretary for Institutional Reforms, then as a member of the National Council, and in 2013-2014 as Secretary for European and International Affairs. 
Previously I was a member of the Bureau of PES (Party of European Socialists), Vice-President of the European Community Organisation of Socialist Youth (ECOSY), member of the Bureau of the European Youth Forum, and a member of the Secretariat of the Youth Forum of the United Nations Food and Agricultural Organisation (FAO).
I am a member of IAI – Istituto Affari Internazionali – and a fellow of the German Marshall Fund for the United States.
I am also a member of the European Leadership Network for Multilateral Nuclear Disarmament and Non-Proliferation (ELN) and of the Group of Eminent Persons (GEM) of the Preparatory Commission for the Comprehensive Nuclear-Test-Ban Treaty Organization (CTBTO).
I graduated in Political Science at the University of Rome “La Sapienza”. 
I speak English and French, and some Spanish.</t>
  </si>
  <si>
    <t>https://facebook.com/FijianGovernment</t>
  </si>
  <si>
    <t xml:space="preserve">For queries related to other Fijian Government agencies or programs, email us at news@govnet.gov.fj 
Find us at www.fiji.gov.fj </t>
  </si>
  <si>
    <t>Nations Business TV Documentary - Weekly
Fiji Focus Newspaper - Fortnightly</t>
  </si>
  <si>
    <t>https://facebook.com/flagstaffhouse</t>
  </si>
  <si>
    <t xml:space="preserve">This is the official page of the Flagstaff House (Presidency of the Republic of Ghana). The page is managed by the FH Communications Bureau.
</t>
  </si>
  <si>
    <t>https://facebook.com/foreign.affairs.fiji</t>
  </si>
  <si>
    <t xml:space="preserve">BULA, Namaste and Welcome to the official website of the Ministry of Foreign Affairs and International Cooperation of the Republic of Fiji. 
The Ministry is responsible for maintaining and promoting diplomatic relations, international cooperation and external trade with foreign nations through its headquarters in Suva and its Embassies, High Commissions and Consulates throughout the world.
The Ministry is also committed to developing and maintaining amicable relations between Fiji and the international community in order to secure the maximum political, social, economic and cultural benefits for the people of the Fiji.
</t>
  </si>
  <si>
    <t xml:space="preserve">The major objective of the Ministry of Foreign Affairs and International Cooperation is the provision of policy advice to the Government regarding the formulation and implementation of its foreign and trade policies. This is done through proactive engagements to maintain and expand friendly relations with other countries and through our participation in regional and international organisations to which Fiji is a member. In a nutshell, the Ministry represents Fiji’s national interests to the world.
Fiji is a member of the United Nations and its specialised agencies such as the ILO, FAO, WHO, UNDP, ITU, IFAD and WMO. It is also a member of a number of international and regional organisations such as the Pacific Community, the Pacific Islands Forum, the South Pacific Applied Geoscience Commission, South Pacific Regional Environmental Programme and the African, Caribbean and Pacific (ACP) Group, WTO, WCO, IMF, IBRD etc. The Ministry is responsible for the overall co-ordination of Fiji’s membership of these organisations and of its participation in the appropriate international fora.
The Ministry operates through its headquarters in Suva and diplomatic missions in Beijing, Brussels, Canberra, Kuala Lumpur, London, New Delhi, New York, Port Moresby, Tokyo, Washington and Wellington and the Fiji Consul General in Sydney. Some of our Heads of Mission are also cross-accredited to a number of other countries. There are also twelve (14) honorary consuls who represent Fiji’s interests in other world citiesand are coordinated through Fiji's Foreign Missions.
The Ministry also records and advises on Fiji’s accession and ratification of treaties, conventions and agreements. Additionally, the Ministry carries out depository functions for various regional and international agreements. This function of the Ministry is obligatory under international law. The Ministry also deals with Consular matters, including issues relating to the status of refugees, and political as well as diplomatic asylum. The Ministry also carries out protocol functions as accorded under the Vienna Convention on Diplomatic Relations [1961], the Vienna Convention on Consular Relations [1963] and Fiji’s Diplomatic Privileges &amp; Immunities Act [1971].
The promotion and establishment of external trade and economic relations through negotiation is an important function of the Ministry, and our diplomatic missions abroad assist with the responsibility for trade policy implementation and co-ordination of trade promotion activities. They also identify and encourage potential foreign investors. Furthermore, the Ministry also liaises with the private sector, Tourism Fiji and the Fiji Islands Trade and Investment Bureau in promoting and expanding Fiji’s trade and economic relations.Currently, Fiji has two Trade Offices in Los Angeles and Taipei respectively.
In addition to the management of political, economic and trade relations with other countries, the Ministry plays an important role in such areas as the negotiation and administration of foreign development assistance and is the Government’s official channel of communication, particularly with all foreign diplomatic missions and international organisations based in Fiji.
</t>
  </si>
  <si>
    <t>https://facebook.com/foreignaffarisnamibia</t>
  </si>
  <si>
    <t xml:space="preserve"> The Ministry is entrusted with the primary function of formulating, promoting and executing Namibia's foreign policy and the conduct of Namibia's international relations. </t>
  </si>
  <si>
    <t xml:space="preserve">The foundation and guide for the Ministry of Foreign Affairs is the Constitution, which defines all aspects of state power in Namibia. Article 96 of the Constitution stipulates five general guidelines which underpin the Government's commitment to actively promote friendly and beneficial relations and co-operation with other nations, and also to foster, in concert with them, the maintenance of the rule of law, peace, security, social justice and economic welfare.
The five guidelines which are contained in the Constitution are:
      Adopt and maintain a policy of non-alignment;
      Promote international co-operation, peace and security;
      Create and maintain just and mutually beneficial relations among nations;
      Foster respect for international law and treaty obligations;
      Encourage the settlement of international disputes by peaceful means.
</t>
  </si>
  <si>
    <t xml:space="preserve"> +264 61 2829111</t>
  </si>
  <si>
    <t>https://facebook.com/ForeignMinistryJo</t>
  </si>
  <si>
    <t>صفحة الفيسبوك الرسمية لوزارة الخارجية وشؤون المغتربين-المملكة الأردنية الهاشمية
Official Facebook Page for Ministry of Foreign Affairs and Expatriates-HKJ</t>
  </si>
  <si>
    <t xml:space="preserve">وزير الخارجية: معالي ناصر جودة
السيرة الذاتية: ولد في عمان بتاريخ 17 تموز 1961 ودرس المرحلتين الابتدائية والاعدادية فيها ثم انتقل الى بريطانيا حيث اكمل المرحلة الثانوية من دراسته اكمل دراسته الجامعية في جامعة جورج تاون في عاصمة الولايات المتحدة الامريكية وتخرج منها بشهادة البكالوريوس في العلاقات الدولية والقانون والمنظمات الدولية.
عمل في بداية حياته العملية بين عامي 1985 و 1992 في الديوان الملكي الهاشمي العامر في المكتب الصحفي لجلالة المغفور له الملك الحسين المعظم ثم كسكرتير خاص لسمو ولي العهد. 
انتقل الى لندن عام 1992 لتأسيس وادارة مكتب الاعلام الاردني هناك عاد الى الوطن عام 1994 عندما عين مديرا للتلفزيون الاردني ثم مديرا عاما لمؤسسة الاذاعة والتلفزيون. 
عين وزيرا للاعلام وناطق رسمي بأسم الحكومة عام 1998 ثم عمل في القطاع الخاص بعد استقالة الحكومة عام 1999.
في شهر تشرين الثاني 2005 عاد الى العمل العام عندما عين ناطقا رسميا باسم الحكومة ومن ثم وزيرا للدولة للشؤون الاعلام والاتصال يوم 25 تشرين الثاني 2007 المنصب الذي شغله لغاية تعيينه وزيرا للخارجية يوم 23 شباط 2009 مع حكومة دولة السيد نادر الذهبي. 
عاد وعين وزيرا للخارجية في حكومة دولة السيد سمير الرفاعي في 14-12-2009 وايضا في حكومة دولة السيد معروف البخيت في 9-2-2011 وعين أيضا وزيرا للخارجية في 24-10-2011 في حكومة دولة السيد عون الخصاونة. 
حاصل على وسام الاستقلال من الدرجة الاولى ووسام الكوكب الاردني من الدرجة الاولى وعدد من الاوسمة الاجنبية. 
</t>
  </si>
  <si>
    <t>حماية المصالح الوطنية للمملكة الأردنية الهاشمية والمحافظة على مكتسباتها،  وتحقيق أهداف السياسة الخارجية الأردنية، وتعزيز دور الأردن إقليميا ودوليا والقائم على الانفتاح والوسطية والاعتدال.</t>
  </si>
  <si>
    <t>https://facebook.com/foreignoffice</t>
  </si>
  <si>
    <t>*Our Facebook moderation policy*
We look forward to receiving your comments and participation in the discussions on this page and would like to publish as many as possible. However we do ask that our followers adhere to certain good practices and conventions of polite and constructive discourse.
Therefore we will not publish and will remove comments that:
- contain abusive, obscene, indecent or offensive language
- contain swear words or other sorts of profanity
- contain abusive language towards an individual involved in the thread, other organisations or the page administrator
- are completely removed from the topic of conversation or non-relevant to the item posted on the wall
- constitute spam or promote or advertise products except where it is for an event, publication or similar item that has direct relevance to the subject of discussion. Information about locating and sharing knowledge and expertise is welcomed, but within the specific discussion provided
- are designed to cause nuisance to the page administrator or other users
We encourage open, lively debate but the decision to publish comments received via this site remains at the admin’s discretion. Comments that violate any of the above rules will be removed or not be published. We will not edit any of your comments.
We make no commitment to respond to individual and repeat offenders may be blocked from using the Facebook page indefinitely.
We may at any time, without notice to you, revise this policy and any other information contained in this page.</t>
  </si>
  <si>
    <t>https://facebook.com/ForeignOfficeKE</t>
  </si>
  <si>
    <t xml:space="preserve">Mission: “To advance the interests of Kenyans through innovative diplomacy”. </t>
  </si>
  <si>
    <t>https://facebook.com/forsaetisraduneytid</t>
  </si>
  <si>
    <t>https://facebook.com/fortalezaproficial</t>
  </si>
  <si>
    <t>https://facebook.com/france.diplomacy</t>
  </si>
  <si>
    <t>Welcome to the official page in English of the French MFA!
Check out our page in French: http://facebook.com/france.diplomatie</t>
  </si>
  <si>
    <t>https://facebook.com/france.diplomatie</t>
  </si>
  <si>
    <t xml:space="preserve">http://www.diplomatie.gouv.fr </t>
  </si>
  <si>
    <t>https://facebook.com/gabinetesocialparaguay</t>
  </si>
  <si>
    <t>Tenemos por objetivos:
a. La adecuada correspondencia entre los programas de Política Social y de los que apuntan a reducir la pobreza.
b. La estrecha cooperación y convergencia entre las instituciones de Ejecución.
c. La elaboración de una agenda estratégica que pueda ser compartida entre las Instituciones Públicas (centrales y locales) y las Organizaciones no Gubernamentales u otros agentes de la sociedad civil.
d. La identificación de las líneas prioritarias de apoyo de la Cooperación Internacional.
e. La obtención de la mayor coherencia posible entre los ámbitos de la Política Social y la Económica.</t>
  </si>
  <si>
    <t>https://facebook.com/gabon.primature</t>
  </si>
  <si>
    <t>Prime Minister Giorgi Kvirikashvili</t>
  </si>
  <si>
    <t>https://facebook.com/gaston.browne</t>
  </si>
  <si>
    <t xml:space="preserve">Welcome to official Facebook page of Hon. Gaston Browne, Prime Minister of Antigua and Barbuda, Minister of Finance and Corporate Governance. </t>
  </si>
  <si>
    <t>https://facebook.com/GebranBassil</t>
  </si>
  <si>
    <t xml:space="preserve">Minister of Foreign Affairs and Emigrants </t>
  </si>
  <si>
    <t>https://facebook.com/GeorgianGovernment</t>
  </si>
  <si>
    <t>https://facebook.com/gisbarbados</t>
  </si>
  <si>
    <t xml:space="preserve">The Barbados Government Information Service (BGIS) is the official communications arm of the Barbados Government. </t>
  </si>
  <si>
    <t xml:space="preserve">The BGIS is committed to the principles of Open Government, which means: 
	- transparency in process and information
	- participation by citizens in the governing process
	- public collaboration in finding solutions to problems, and participation in the      improved well-being of the community
Accordingly, the GOB is committed to engaging effectively with its citizens in a meaningful, accountable, responsive and equitable way and is willing to take advantage of a range of social media tools such as Facebook.
VISION
To be the leading information hub of Barbados through the dissemination of engaging, interesting and timely information using social media.
</t>
  </si>
  <si>
    <t xml:space="preserve">Policy for Contributors
When contributing, do not post any material that contains:
	- hate speech
	- profanity, obscenity or vulgarity
	- comments that could be considered prejudicial, racist or      inflammatory
	- nudity or offensive imagery (including, but not limited to, in profile pictures)
	- defamation to a person or people
	- name calling and/or personal attacks
	- comments whose main purpose are commercial in nature and/or to sell a product
	- comments that infringe on copyright or another person’s intellectual property
	- spam comments from individuals or groups, such as the same comment posted repeatedly on a profile
	- personal information about you or another individual (including identifying information, email addresses, phone numbers or private addresses)
	- false representation of another individual, organisation, government or entity
	- promotion of a product, business, company or organisation
The BGIS retains the right to remove any content that does not comply with these guidelines or that the BGIS social media team deems inappropriate.
Repeated violations may cause the author to be blocked from the BGIS social media sites.
</t>
  </si>
  <si>
    <t xml:space="preserve">The Barbados Government Information Service Social Media Team will ensure that Government's information is disseminated to the public in a timely and efficient manner, while engaging open and honest dialogue between the public and the Government of Barbados using social media.
</t>
  </si>
  <si>
    <t>https://facebook.com/gmicafghanistan</t>
  </si>
  <si>
    <t xml:space="preserve">GMIC was established in 2007 to respond to the great information need of the Afghan public, media, and other national and international stakeholders. </t>
  </si>
  <si>
    <t xml:space="preserve">The Government Media &amp; Information Center (GMIC) was established in 2007 to respond to the great information need of the Afghan public, media, and other national and international stakeholders. With the presidential decree enacted in 2007, Government Media &amp; Information Center started operation robustly and immediately.
GMIC aims at building trust amongst Afghan publics and other stakeholders through provision of timely and accurate information, continuous and consistent information dissemination, facilitation of coordination and information sharing amongst acting agencies in the Afghan government, independent media, and capacity building for Government’s information and communication portals.
Government Media &amp; Information Center consists of two pillars, program and administration. In Programs, Capacity Building, Media Relations, Media Monitoring and Public Outreach Department each play essential roles that serve the bottom line goal of GMIC. The Capacity Building Department (CBD) is determined to build communications capacity in the Afghan government communications offices and constantly develops and conducts educational activities tied to the needs of the Afghan government. The Media Relations Department (MRD) works to develop and implement a comprehensive communication and coordination mechanism in which information producing and distributing entities take active part and enhance the flow of information to and from the Afghan public and other stakeholders. The Media Monitoring analyzes the print and electronic media and provides the news and analysis of important national and international events, affecting Afghanistan to the senior government officials of the Islamic Republic of Afghanistan. The Public Outreach Department (POD) is the awareness raising unit within GMIC’s structure. POD aims at developing a national wide information collection and dissemination network through which, Afghan publics and other audiences are continuously informed about the progress of the government of Afghanistan.
 Programs are supported by the Administration pillar which includes Finance, Procurement, Human Resources and Security units. The Administration serves as a strong actor in running and logistically supporting the programs of the Government Media &amp; Information Center. </t>
  </si>
  <si>
    <t>+93 (0) 20 210 50 34</t>
  </si>
  <si>
    <t xml:space="preserve">Publications, Audio Visuals, Press Conferences, Capacity Building, news coordination, </t>
  </si>
  <si>
    <t>https://facebook.com/gobiernocr</t>
  </si>
  <si>
    <t>https://facebook.com/gobiernodechile</t>
  </si>
  <si>
    <t>https://facebook.com/gobmx</t>
  </si>
  <si>
    <t>https://facebook.com/GOBPressOffice</t>
  </si>
  <si>
    <t>https://facebook.com/gouvci.officiel</t>
  </si>
  <si>
    <t>Gouvernement de Côte d'Ivoire.
Site web Officiel: http://www.gouv.ci/
Hashtag Officiel: #gouvci</t>
  </si>
  <si>
    <t>https://facebook.com/gouvernement.fr</t>
  </si>
  <si>
    <t xml:space="preserve">Page officielle du Gouvernement français
Twitter: www.twitter.com/gouvernementFR
Tumblr: http://gouvernement-fr.tumblr.com
</t>
  </si>
  <si>
    <t>https://facebook.com/gouvernementcongobrazzaville</t>
  </si>
  <si>
    <t xml:space="preserve">Page officielle du Gouvernement guinéen. </t>
  </si>
  <si>
    <t xml:space="preserve">Compte officiel du gouvernement luxembourgeois. Offiziellen Account vun der Lëtzebuerger Regierung. Official account of the Luxembourgish government. </t>
  </si>
  <si>
    <t xml:space="preserve">Dëse Site gëtt geréiert vum Service information et presse (SIP) vun der Lëtzebuerger Regierung a soll d'Bierger iwwer d'Aarbecht vun der Lëtzebuerger Regierung informéieren. De SIP garantéiert déi beschtméiglech Exaktheet vun den Informatiounen op dësem Site. De SIP kann net responsabel gemaach ginn, wa verschidden Informatioune feelen oder Feeler hunn. De SIP kann och net responsabel gemaach gi fir de Gebrauch vun Informatiounen duerch aner Quellen. De SIP kann net responsabel gemaach gi fir de Gebrauch vun den Informatiounen duerch aner Persounen. D'Weblinken op dësem Site kënnen op aner Sitte weiderleeden, déi net vum SIP administréiert ginn. De SIP ass just fir säin eegene Contenu responsabel an net fir deen op anere Sitten, op déi eventuell weidergeleet gëtt. 
Cette page est gérée par le Service information et presse (SIP) du gouvernement luxembourgeois et vise l'information du grand public sur les activités du gouvernement. Le SIP assure au mieux l’exactitude des informations diffusées sur cette page. Cependant, sa responsabilité ne saurait être retenue notamment en cas d’omission d’une information, en cas d’erreurs ou en cas de lacunes dans les informations fournies. Le SIP ne saurait être tenu responsable de l'utilisation qui peut être faite par des tiers des informations fournies sur cette page. Les liens sur cette page peuvent conduire vers des sites qui ne sont pas gérés par le gouvernement luxembourgeois. Le SIP n’est pas responsable des informations ou services fournis par ces sites. 
This page is managed by the Information and Press Service (SIP) of the Luxembourgish Government and aims to inform the general public about its activities.The SIP provides the best possible accuracy of information published on this page. However, liability can not be accepted especially in case of omission of information, in case of errors or if there are gaps in the information provided. The SIP can not be held responsible for any use which may be made by third parties of information provided on this page. Links on this page may lead to websites that are not managed by the SIP. It is not responsible for the information or services provided by these websites. 
</t>
  </si>
  <si>
    <t xml:space="preserve">Politique de modération/ Moderation policy: 
De Service information et presse vun der Lëtzebuerger Regierung weist drop hin, datt diskriminéirend Commentairen op dëser Säit net toleréiert ginn. Dofir fuerdere mir d'Visiteure vun dëser Säit op, fir all auslännerfeindlech, rassistesch, homophob, beleidegend, diffaméierend a sexistesch Remarquen z'ënnerloossen. Dës Commentairë ginn direkt geläscht an un déi zoustänneg Autoritéite weiderginn. Och kommerziell Inhalter ginn direkt geläscht. Dëse Site gëtt geréiert vu méindes bis freides, vun 8 Auer bis 18 Auer. Ausserhalb vun dësen Auerzäiten, d‘Weekender an d’Feierdeeg ass eng Surveillance vum Site garantéiert. De Service information et presse äntwert op Commentairen a Froen, esouwäit et méiglech ass. Et gëtt awer drop higewisen, datt weder Facebook nach Twitter en offizielle Wee si fir sech un d'Regierung z'adresséieren. Weider Informatiounen op der offizieller Internetsäit vun der Regierung: www.gouvernement.lu. 
Tout utilisateur de cette page s’engage à faire abstraction de toute forme de discrimination  liée à la race, la couleur, la religion, le sexe, l’orientation sexuelle, l'âge, l'origine nationale, le handicap, l'état matrimonial ou encore le statut professionnel. Les propos injurieux, racistes, sexistes ou offensants seront supprimés et signalés aux autorités judiciaires. Tout contenu commercial sera également supprimé.Cette page est gérée du lundi au vendredi, entre 8 heures et 18 heures. En dehors de ces heures, ainsi que durant les week-ends et jours fériés, une surveillance est assurée. Le SIP essaye de réagir aux commentaires et questions des utilisateurs dans les meilleurs délais, en tenant compte des horaires qui précèdent. Cette page ne constitue pas une voie officielle pour s'adresser au gouvernement ou pour effectuer une démarche administrative. 
Any user of this page must exclude all forms of discrimination based on race, color, religion, sex, sexual orientation, age, national origin, disability, marital status or employment status. Insults, racist, sexist or offensive comments will be removed and reported to the judicial authorities. Any commercial content will be removed as well. This page is run from Monday to Friday between 8 am and 6 pm. Outside office hours and during weekends and holidays, monitoring is ensured. The SIP tries to respond to comments and questions from users in a timely manner, taking into account the above schedule. This page is not an official way to contact the Government or to make an administrative approach. 
</t>
  </si>
  <si>
    <t xml:space="preserve">Sproochen/ Langues/ Languages: 
De SIP publizéiert op dësem Site haaptsächlech op lëtzebuergesch. Jee no Informatioun kënnen déi awer och op franséisch, däitsch oder englesch publizéiert ginn. Et ass méiglech, datt op aner Websäite verwise gëtt, déi net multilingual sinn.
Le SIP publie principalement en luxembourgeois sur cette page. En fonction de la cible ou de la nature des informations, celles-ci sont aussi diffusées en français, allemand ou anglais. Il se peut que les informations publiées sur cette page renvoient vers des sites qui ne sont pas multilingues. Dans la mesure du possible, il sera répondu à toute question/commentaire dans la langue de l’utilisateur.
The SIP publishes mainly in Luxembourgish on this page. Depending on the target or the nature of the information, they are also broadcast in French, German or English. It may be that the information published on this page refer to sites that are not multilingual. 
As far as possible, it will be answered any question / comment in the language of the user.
</t>
  </si>
  <si>
    <t>https://facebook.com/gov.sg</t>
  </si>
  <si>
    <t>https://facebook.com/govern.ad</t>
  </si>
  <si>
    <t>https://facebook.com/Government-of-Kenya-280212665505125</t>
  </si>
  <si>
    <t>The Presidency  organizes  and coordinates Government business.  The effectiveness and efficiency of this office, given its technical leadership role and mandate in policy formulation, review and decision-making, impacts decisively on the performance of all other public sector entities.  In view of that fact therefore, the performance of the Presidency being central to all government functions, ultimately transcends all facets of public sector management. The Presidency is central in ensuring the president achieve his objectives.</t>
  </si>
  <si>
    <t>https://facebook.com/GovernmentofPalestine</t>
  </si>
  <si>
    <t xml:space="preserve">استنادا إلى القانون الاساسي الفلسطيني المعدل للعام 2003 المواد ادناه توضح طبيعة عمل مجلس الوزراء الفلسطيني. 
مادة (63)
مجلس الوزراء (الحكومة) هو الأداة التنفيذية والإدارية العليا التي تضطلع بمسؤولية وضع البرنامج الذي تقره السلطة التشريعية موضع التنفيذ، وفيما عدا ما لرئيس السلطة الوطنية من اختصاصات تنفيذية يحددها القانون الأساسي، تكون الصلاحيات التنفيذية والإدارية من اختصاص مجلس الوزراء.
مادة (64)
1- يتكون مجلس الوزراء من رئيس الوزراء وعدد من الوزراء لا يتجاوز أربعة وعشرين وزيراً. 2- يحدد في قرار التعيين الوزارة التي تسند إلى كل وزير.
مادة (65)
1- فور تكليفه من قبل رئيس السلطة الوطنية الفلسطينية يتولى رئيس الوزراء تشكيل حكومته خلال ثلاثة أسابيع من تاريخ اختياره، وله الحق في مهلة أخرى أقصاها أسبوعان آخران فقط. 2- إذا أخفق رئيس الوزراء في تشكيل حكومته خلال الأجل المذكور أو لم يحصل على ثقة المجلس التشريعي وجب على رئيس السلطة الوطنية استبداله بآخر خلال أسبوعين من تاريخ إخفاقه أو من تاريخ جلسة الثقة حسب مقتضى الحال، وتنطبق على رئيس الوزراء الجديد الأحكام الواردة في الفقرة (1) أعلاه.
مادة (66)
1- فور اختيار رئيس الوزراء لأعضاء حكومته يتقدم بطلب إلى المجلس التشريعي لعقد جلسة خاصة للتصويت على الثقة بهم بعد الاستماع والانتهاء من مناقشة البيان الوزاري المكتوب الذي يحدد برنامج وسياسة الحكومة، على أن تعقد الجلسة في موعد أقصاه أسبوع من تاريخ الطلب. 2- يتم التصويت على الثقة برئيس الوزراء وأعضاء حكومته مجتمعين، ما لم تقرر الأغلبية المطلقة خلاف ذلك. 3- تمنح الثقة بالحكومة إذا صوتت إلى جانبها الأغلبية المطلقة لأعضاء المجلس التشريعي.
مادة (67)
بعد الحصول على الثقة بهم وقبل مباشرة أعمالهم يؤدي رئيس الوزراء وأعضاء حكومته أمام رئيس السلطة الوطنية اليمين الدستورية المنصوص عليها في المادة (35) من القانون الأساسي.
مادة (68)
يمارس رئيس الوزراء ما يلي: 1- تشكيل مجلس الوزراء أو تعديله أو إقالة أو قبول استقالة أي عضو أو ملء الشاغر فيه. 2- دعوة مجلس الوزراء للانعقاد في جلسته الأسبوعية أو عند الضرورة، أو بناء على طلب رئيس السلطة الوطنية، ويضع جدول أعماله. 3- ترؤس جلسات مجلس الوزراء. 4- إدارة كل ما يتعلق بشؤون مجلس الوزراء. 5- الإشراف على أعمال الوزراء والمؤسسات العامة التابعة للحكومة. 6- إصدار القرارات اللازمة في حدود اختصاصاته وفقاً للقانون. 7- توقيع وإصدار اللوائح أو الأنظمة التي يصادق عليها مجلس الوزراء. 8- يقوم رئيس الوزراء بتعين نائب له من بين وزرائه ليقوم بأعماله عند غيابه.
مادة (69)
يختص مجلس الوزراء بما يلي : 1- وضع السياسة العامة في حدود اختصاصه، وفي ضوء البرنامج الوزاري المصادق عليه من المجلس التشريعي. 2- تنفيذ السياسات العامة المقررة من السلطات الفلسطينية المختصة. 3- وضع الموازنة العامة لعرضها على المجلس التشريعي. 4- إعداد الجهاز الإداري، ووضع هياكله، وتزويده بكافة الوسائل اللازمة، والإشراف عليه ومتابعته. 5- متابعة تنفيذ القوانين وضمان الالتزام بأحكامها، واتخاذ الإجراءات اللازمة لذلك. 6- الإشراف على أداء الوزارات وسائر وحدات الجهاز الإداري لواجباتها واختصاصاتها، والتنسيق فيما بينها. 7- مسؤولية حفظ النظام العام والأمن الداخلي. 8- مناقشة الاقتراحات مع الجهات المختلفة ذات العلاقة بالفقرتين (6 و7) أعلاه، وسياساتها في مجال تنفيذ اختصاصاتها. 9-أ- إنشاء أو إلغاء الهيئات والمؤسسات والسلطات أو ما في حكمها من وحدات الجهاز الإداري التي يشملها الجهاز التنفيذي التابع للحكومة، على ان ينظم كل منها بقانون. ب- تعيين رؤساء الهيئات والمؤسسات المشار إليها في البند (أ) أعلاه والإشراف عليها وفقا لأحكام القانون. 10- تحديد اختصاصات الوزارات والهيئات والسلطات والمؤسسات التابعة للجهاز التنفيذي كافة، وما في حكمها. 11- أية اختصاصات أخرى تناط به بموجب أحكام القانون.
مادة (70)
لمجلس الوزراء الحق في التقدم إلى المجلس التشريعي بمشروعات القوانين وإصدار اللوائح واتخاذ الإجراءات اللازمة لتنفيذ القوانين.
مادة (71)
يختص كل وزير في إطار وزارته على وجه الخصوص بما يأتي : 1- اقتراح السياسة العامة لوزارته والإشراف على تنفيذها بعد إقرارها. 2- الإشراف على سير العمل في وزارته وإصدار التعليمات اللازمة لذلك. 3- تنفيذ الموازنة العامة ضمن الاعتمادات المقررة لوزارته. 4- إعداد مشروعات القوانين الخاصة بوزارته وتقديمها لمجلس الوزراء. 5- يجوز للوزير تفويض بعض سلطاته إلى وكيل الوزارة، أو غيره من موظفي الإدارة العليا في وزارته، في حدود القانون.
مادة (72)
على كل وزير أن يقدم إلى مجلس الوزراء تقارير تفصيلية عن نشاطات وزارته وسياساتها وخططها ومنجزاتها مقارنة بالأهداف المحددة للوزارة في إطار الخطة العامة، وكذلك عن مقترحاتها وتوصياتها بشأن سياستها في المستقبل. وتقدم هذه التقارير بشكل دوري منتظم كل ثلاثة أشهر بحيث يكون مجلس الوزراء على إطلاع واف بسياسات كل وزارة ونشاطاتها.
مادة (73)
1- بدعوة من رئيس الوزراء تعقد جلسات مجلس الوزراء بصورة دورية أسبوعيا، أو عند الضرورة، ولا يجوز لغير الوزراء حضور هذه الجلسات إلا بناء على دعوة مسبقة من رئيس الوزراء. 2- تكون جلسات مجلس الوزراء موثقة.
مادة (74)
1- رئيس الوزراء مسؤول أمام رئيس السلطة الوطنية عن أعماله وعن أعمال حكومته . 2- الوزراء مسؤولون أمام رئيس الوزراء كل في حدود اختصاصه وعن أعمال وزارته. 3- رئيس الوزراء وأعضاء حكومته مسؤولون مسؤولية فردية وتضامنية أمام المجلس التشريعي.
مادة (75)
1- لرئيس السلطة الوطنية الحق في إحالة رئيس الوزراء إلى التحقيق فيما قد ينسب إليه من جرائم أثناء تأديته أعمال وظيفته أو بسببها وذلك وفقا لأحكام القانون. 2- لرئيس الوزراء الحق في إحالة أي من الوزراء إلى التحقيق استنادا إلى أي من الأسباب المشار إليها في الفقرة (1) أعلاه وذلك وفقا لأحكام القانون.
مادة (76)
1- يوقف من يتهم من الوزراء عن مهام منصبه فور صدور قرار الاتهام، ولا يحول انتهاء خدمته دون الاستمرار في إجراءات التحقيق والمتابعة. 2- يتولى النائب العام أو من يمثله من أعضاء النيابة العامة إجراءات التحقيق والاتهام وتتم المحاكمة أمام المحكمة المختصة، وتتبع الأحكام والقواعد المقررة في قانوني العقوبات والإجراءات الجزائية. 3- تسري الأحكام السابقة على نواب الوزراء ووكلاء الوزارات ومن في حكمهم.
مادة (77)
1- يجوز لعشرة أعضاء من المجلس التشريعي التقدم بطلب إلى رئيس المجلس لعقد جلسة خاصة لطرح الثقة بالحكومة أو بأحد الوزراء بعد استجوابه. 2- يتم تحديد موعد أول جلسة بعد مضي ثلاثة أيام على تقديم الطلب ولا يجوز أن يتجاوز موعدها أسبوعين من ذلك التاريخ.
مادة (78)
1- يتم حجب الثقة عن رئيس الوزراء وحكومته بالأغلبية المطلقة لأعضاء المجلس التشريعي. 2- يترتب على حجب الثقة عن رئيس الوزراء وحكومته انتهاء ولايتهم. 3- عند انتهاء ولاية رئيس الوزراء وأعضاء حكومته يمارسون أعمالهم مؤقتا باعتبارهم حكومة تسيير أعمال ولا يجوز لهم أن يتخذوا من القرارات إلا ما هو لازم وضروري لتسيير الأعمال التنفيذية لحين تشكيل الحكومة الجديدة.
مادة (79)
1- عند قيام المجلس التشريعي بالأغلبية المطلقة لأعضائه بحجب الثقة عن رئيس الوزراء، أو عنه وعن أعضاء حكومته مجتمعين يقدم رئيس السلطة الوطنية الفلسطينية بديلا خلال مهلة أقصاها أسبوعان تبدأ من تاريخ حجب الثقة، ويخضع رئيس الوزراء الجديد لأحكام هذا الباب. 2- حال قيام المجلس التشريعي بحجب الثقة عن واحد أو أكثر من أعضاء الحكومة يقدم رئيس الوزراء بديلاً في الجلسة التالية على إلا يتجاوز موعدها أسبوعين من تاريخ حجب الثقة. 3-أ- يعد تعديلا وزاريا أية إضافة أو تغيير يطال حقيبة وزارية أو وزيراً أو اكثر من أعضاء مجلس الوزراء ما دام لم يبلغ ثلث عددهم. ب. عند إجراء تعديل وزاري أو إضافة أحد الوزراء أو ملء الشاغر لأي سبب كان يتم تقديم الوزراء الجدد خلال مدة أقصاها أسبوعان من تاريخ التعديل أو الشغور للمجلس التشريعي في أول جلسة يعقدها للتصويت على الثقة بهم وفقا لأحكام هذه المادة. 4- لا يجوز لرئيس الوزراء أو لأي من الوزراء ممارسة مهام منصبه إلا بعد الحصول على الثقة به من المجلس التشريعي.
مادة (80)
1- على رئيس الوزراء وكل وزير أن يقدم إقراراً بالذمة المالية الخاصة به وبزوجه وبأولاده القصر، مفصلاً فيه كل ما يملكون من عقارات ومنقولات وأسهم وسندات وأموال نقدية داخل فلسطين وخارجها، وما عليهم من ديون إلى رئيس السلطة الوطنية الذي يضع الترتيبات اللازمة للحفاظ على سريتها وتبقى سرية ولا يجوز الإطـلاع عليها إلا بإذن من المحكمة العليا عند الاقتضاء. 2- لا يجوز لرئيس الوزراء أو لأي وزير من الوزراء أن يشتري أو يستأجر شيئاً من أملاك الدولة، أو أحد الأشخاص المعنوية العامة ، أو أن تكون له مصلحة مالية في أي عقد من العقود التي تبرمها الجهات الحكومية أو الإدارية، كما لا يجوز له طوال مدة وزارته أن يكون عضواً في مجلس إدارة أي شركة أو أن يمارس التجارة أو أي مهنة من المهن أو أن يتقاضى راتباً أخر أو أي مكافآت أو منح من أي شخص آخر وبأي صفة كانت غير الراتب الواحد المحدد للوزير ومخصصاته.
مادة (81)
تحدد بقانون مخصصات رئيس الوزراء والوزراء ومن في حكمهم.
مادة (82)
يشترط فيمن يعين رئيساً للوزراء أو وزيراً أن يكون فلسطينياً متمتعاً بكامل حقوقه المدنية والسياسية.
مادة (83)
تعتبر الحكومة مستقيلة ويعاد تشكيلها وفقا لإحكام هذا الباب في الحالات التالية: 1- فور بدء ولاية جديدة للمجلس التشريعي. 2- بعد حجب الثقة عن رئيس الوزراء أو عن رئيس الوزراء وحكومته، أو عن ثلث عدد الوزراء على الأقل. 3- أية إضافة أو تغيير أو شغور أو إقالة تشمل ثلث عدد أعضاء مجلس الوزراء على الأقل. 4- وفاة رئيس الوزراء. 5- استقالة رئيس الوزراء أو استقالة ثلث عدد أعضاء الحكومة على الأقل. 6- إقالة رئيس الوزراء من قبل رئيس السلطة الوطنية.
مادة (84)
1- قوات الأمن والشرطة قوة نظاميه وهي القوة المسلحة في البلاد وتنحصر وظيفتها في الدفاع عن الوطن وخدمة الشعب وحماية المجتمع والسهر على حفظ الأمن والنظام العام والآداب العامة وتؤدي واجبها في الحدود التي رسمها القانون في احترام كامل للحقوق والحريات. 2- تنظم قوات الأمن والشرطة بقانون.
مادة (85)
تنظم البلاد بقانون في وحدات إدارة محلية تتمتع بالشخصية الاعتبارية، ويكون لكل وحدة منها مجلس منتخب انتخاباً مباشراً على الوجه المبين في القانون. ويحدد القانون اختصاصات وحدات الإدارة المحلية ومواردها المالية وعلاقتها بالسلطة المركزية ودورها في إعداد خطط التنمية وتنفيذها، كما يحدد القانون أوجه الرقابة على تلك الوحدات ونشاطاتها المختلفة . ويراعى عند التقسيم المعايير السكانية والجغرافية والاقتصادية والسياسية للحفاظ على الوحدة الترابية للوطن ومصالح التجمعات فيه.
مادة (86)
يكون تعيين الموظفين العموميين، وسائر العاملين في الدولة وشروط استخدامهم وفقاً للقانون.
مادة (87)
ينظم بقانون كل ما يتعلق بشؤون الخدمة المدنية، وعلى ديوان الموظفين بالتنسيق مع الجهات الحكومية المختصة العمل على الارتقاء بالإدارة العامة وتطويرها، ويؤخذ رأيه في مشروعات القوانين واللوائح الخاصة بالإدارة العامة، والعاملين بها.
مادة (88)
فرض الضرائب العامة والرسوم، وتعديلها وإلغاؤها، لا يكون إلا بقانون، ولا يعفى أحـد من أدائها كلها أو بعضها، في غير الأحوال المبينة في القانون.
مادة (89)
يبين القانون الأحكام الخاصة بتحصيل الأموال العامة وبإجراءات صرفها.
مادة (90)
تحدد بداية السنة المالية ونهايتها وتنظم الموازنة العامة بقانون، وإذا لم يتيسر إقرار الموازنة العامة قبل ابتداء السنة المالية الجديدة، يستمر الإنفاق باعتمادات شهريه بنسبة 1/12 (واحد من اثنى عشر) لكل شهر من موازنة السنة المالية.
مادة (91)
1- يؤدى إلى الخزينة العامة جميع ما يقبض من الإيرادات بما فيها الضرائب والرسوم والقروض والمنح، وكل الأرباح والعوائد التي تعود على السلطة الوطنية الفلسطينية من إدارة أملاكها أو نشاطها، ولا يجوز تخصيص أي جزء من أموال الخزينة العامة أو الإنفاق منها لأي غرض، مهما كان نوعه، إلا وفق ما يقرره القانون. 2- وفقاً لأحكام القانون يجوز للسلطة الوطنية الفلسطينية تكوين احتياطي مالي استراتيجي لمواجهة المتغيرات وحالات الطوارئ.
مادة (92)
تعقد القروض العامة بقانون، ولا يجوز الارتباط بأي مشروع يترتب عليه إنفاق مبالغ من الخزينة العامة لفترة مقبلة إلا بموافقة المجلس التشريعي.
مادة (93)
1- ينظم القانون الأحكام الخاصة بسلطة النقد والمصارف وسوق الأوراق المالية وشركات الصرافة والتأمين وسائر المؤسسات المالية والائتمانية. 2- يعين محافظ سلطة النقد بقرار من رئيس السلطة الوطنية ويصادق على تعيينه من قبل المجلس التشريعي الفلسطيني.
مادة (94)
يحدد القانون القواعد والإجراءات الخاصة بمنح الامتيازات أو الالتزامات المتعلقة باستغلال موارد الثروة الطبيعية والمرافق العامة، كما يبين أحوال التصرف بالعقارات المملوكة للدولة وغيرها من الأشخاص المعنوية العامة، أو القواعد والإجراءات المنظمة لها.
مادة (95)
يعين القانون قواعد منح المرتبات والمعاشات والتعويضات والإعانات والمكافآت التي تتقرر على الخزينة العامة، والجهات التي تتولى تطبيقها، ولا يجوز صرف أية مبالغ استثنائية إلا في الحدود المعينة قانونياً.
مادة (96)
1- ينشأ بقانون ديوان للرقابة المالية والإدارية على أجهزة السلطة كافة، بما في ذلك مراقبة تحصيل الإيرادات العامة والإنفاق منها في حدود الموازنة. 2- ويقدم الديوان لكل من رئيس السلطة الوطنية والمجلس التشريعي تقريراً سنوياً أو عند الطلب، عن أعماله وملاحظاته. 3- يعين رئيس ديوان الرقابة المالية والإدارية بقرار من رئيس السلطة الوطنية الفلسطينية وبمصادقة المجلس التشريعي الفلسطيني .
</t>
  </si>
  <si>
    <t xml:space="preserve">تعمل حكومة دولة فلسطين من أجل خدمة المواطنين الفلسطينين وتعزيز صمودهم في مواجهة الاحتلال الاسرائيلي، وتعمل تحت إمرة منظمة التحرير الفلسطينية من أجل تحقيق اهداف الشعب الفلسطيني بإقامة دولته المستقلة على حدود الرابع من حزيران عام 1967 وعاصمتها القدس </t>
  </si>
  <si>
    <t xml:space="preserve">موقع رئاسة الوزراء في مدينة رام الله بالضفة الغربية, رام الله </t>
  </si>
  <si>
    <t>https://facebook.com/GovernmentZA</t>
  </si>
  <si>
    <t>https://facebook.com/govkorea</t>
  </si>
  <si>
    <t>https://facebook.com/govph</t>
  </si>
  <si>
    <t>https://facebook.com/GovtPressSec</t>
  </si>
  <si>
    <t>Official Facebook Page.  All official communications from the Prime Minister and Government.
www.samoagovt.ws</t>
  </si>
  <si>
    <t>Any abusive or disrespectful language will not be tolerated. 
The moderators of this page encourage open, free and constructive discussion, but inappropriate and disrespectful commentary will be deleted.</t>
  </si>
  <si>
    <t>+68524799 or +68526397</t>
  </si>
  <si>
    <t>https://facebook.com/govuz</t>
  </si>
  <si>
    <t>https://facebook.com/guatemalagob</t>
  </si>
  <si>
    <t>https://facebook.com/guv.ro</t>
  </si>
  <si>
    <t xml:space="preserve">Bun venit pe pagina oficială a Guvernului României pe Facebook! http://www.guv.ro/
</t>
  </si>
  <si>
    <t xml:space="preserve">+40-21-314-34-00, +40-21-319-15-64 </t>
  </si>
  <si>
    <t>https://facebook.com/GuvernulRepubliciiMoldova</t>
  </si>
  <si>
    <t xml:space="preserve">www.gov.md </t>
  </si>
  <si>
    <t>https://facebook.com/GvtMonaco</t>
  </si>
  <si>
    <t>Bienvenue sur la Page officielle du Gouvernement de Monaco.
☞ Accédez à l’actualité en temps réel sur mobile : http://goo.gl/vd9w6s</t>
  </si>
  <si>
    <t xml:space="preserve">Retrouvez-nous également sur :
- Notre portail : www.gouv.mc
- Notre compte Twitter français https://twitter.com/GvtMonaco
- Notre compte Twitter anglais https://twitter.com/GovMonaco 
- Monaco Channel http://www.monacochannel.mc/Chaines/Gouvernement-Princier
</t>
  </si>
  <si>
    <t>Prime Minister of Iraq  رئيس مجلس الوزراء العراقي</t>
  </si>
  <si>
    <t xml:space="preserve">Iraq’s Prime Minister, Dr. Haider Al-Abadi, has a reputation as a political moderate, a skilled conciliator and an expert on economic development.
Educated at the University of Baghdad, with a doctorate from the University of Manchester in Britain, Dr. Al-Abadi lived in exile in London while Saddam Hussein’s regime ruled Iraq. The Baathist government had executed two of Dr. Al-Abadi’s brothers and imprisoned a third.
Trained as an electrical consultant engineer, Dr. Al-Abadi worked for private companies in Britain, serving as director-general of a high-tech transportation design and development firm in London from 1993 through 2002.
Following the overthrow of Saddam’s regime, Dr. Al-Abadi returned to Iraq in 2003 to help build the new democracy and revive the economy. In recognition of his business acumen and technological know-how, the Iraqi Governing Council selected him as Minister of Communications in September, 2003.
Elected a member of Parliament in 2005 and re-elected in 2010, he served as chairman of Economic, Investment and Reconstruction Committee from 2006-2010 and oversaw the drafting of an important investment law. He became chairman of the Finance Committee in 2011, playing a crucial role in the decisions about the allocation of the 2011-2013 budgets. One of Iraq’s most influential lawmakers, he was elected deputy speaker of Parliament in 2014.
Identified by the Middle East Economic Digest as a key person to watch in Iraq’s reconstruction, he was a leading member of the Iraq Petroleum Advisory Committee, having participated in the Iraq Petroleum Conferences from 2009 through 2012.
As a senior leader in Iraq’s Dawa Party and a member of the governing State of Law Coalition, Al-Abadi has a strong political base. Enjoying good relations with all political blocs, he is an advocate for national reconciliation across religious, regional and ethnic lines.
In an interview with the Huffington Post, Dr. Al-Abadi declared: “We have to be careful not to become involved in a sectarian war. Shias are not against Sunnis, and Sunnis are not against Shias.”
Dr. Al-Abadi was nominated as Prime Minister on August 11, 2014, by Iraq’s President Fuad Masum.
Dr. Al-Abadi is married and has three children.
السيرة الذاتية
الاسم: حيدر جواد العبادي، كانت ولادته في بغداد 1952 ويسكن فيها حالياً، متزوج وله ثلاثة ابناء
عائلته
والده الطبيب المعروف جواد العبادي الذي شغل منصب مدير مستشفى الجملة العصبية في بغداد ومفتش عام وزارة الصحة والذي تمت احالته على التقاعد في 1979 ضمن قائمة تضم 42 طبيب بقرار من رأس نظام البعث بسبب عدم ولائهم للنظام. وقد توفى ودفن خارج العراق بسبب سياسة النظام السابق بعدم السماح للمعارضين بدفن موتاهم في بلده.
اقدم النظام السابق على اعتقال اثنين من اخوته في عام 1980، كان احدهما استاذا جامعياًوالاخرموظفا، وقد تم اعدامهما عام 1982 بتهمة الانتماء لحزب الدعوة الاسلامية. وفي 1981اعتقل حزب البعث الاخ الثالثله وكان حينها طالباً في المرحلة الثانية من كليةالطب،وقد
قضى في السجن مدة عشرة اعوام وبنفس التهمة.
المؤهلات:
حاصل على شهادة الدكتوراه في الهندسة الالكترونية والكهربائية عام 1981 من جامعة مانشستر - انكلترة.
حاصل على شهادة البكالوريوس في الهندسة الكهربائية من الجامعة التكنولوجية عام
1975
اكمل دراسته الاعدادية في الاعدادية المركزية
في بغداد في العام 1970
اكمل الدراسة الابتدائية والمتوسطة في الكرادة الشرقية -بغداد
المناصب السياسية
شغل السيد حيدر العبادي منصب رئيس اللجنة المالية النيابية في مجلس النوّاب العراقي. حيث اشرف على انجاز الموازنة المالية لثلاث سنوات، رغم الصعوبات والخلافات الحادة بين الكتل السياسية انذاك، كما ساهم من خلال موقعه بتعديل رواتب الموظفين واحتساب الشهادة اثناء الخدمة،عمل جاهداًعلىزيادة وتوحيد رواتب المتقاعدين ودعم القطاع الخاص ورعاية الكفاءات والمتميزين والشباب. كما وساهم بصورة فعالة في رفع المستوى المعاشي للمواطنين وحماية الطبقات المحرومة في المجتمع العراقي وتوفير فرص العمل الكريمة للمواطنين ومواصلة دعم الاستثمار الاجنبية في العراق. وأشرف على عملية اعداد ونشر اول وثيقة رسمية لاصلاح النظام المصرفي.
شغل منصب رئيس لجنة الاقتصاد والاستثمار والاعمار للأعوام 2006-2010، وهي من اللجان الاساسية في مجلس النواب العراقي،وكانت من اهم إنجازاته: تشريع قانون الاستثمار ومتابعة تطوير وتأهيل شركات القطاع العام للدولة من خلال التشريعات والتخصيصات المالية. متابعة تنفيذ الموازنات الاستثمارية ومعالجة اسباب التلكؤ في التنفيذ. والسعي لتوفير التسهيلات ومساندة القطاع الصناعي والزراعي وتشجيع الصناعات الوطنية. المساهمة في تشريع حزمة من القوانين الاقتصادية المهمة، منها قانون حماية المستهلك وقانون حماية المنتجات الوطنية وقانون التعريفة الكمركية وقانون المنافسة ومنع الاحتكار وغيرها من القوانين الاساسية لتطوير وحماية الاقتصاد العراقي وتحسين المستوى المعاشي للمواطنين وخلق فرص عمل.
انتخب عام 2006 عضوا في اول مجلس نواب دستوري عن مدينة بغداد.
تولى في عام 2005 إدارة عدة ملفات، منها تعيينه منسقا عاما لمدينة تلعفر لتخليصها من سيطرة القاعدة والارهاب التكفيري، حيث اعتبر ذلك من انجح انجازات الحكومة في ذلك الوقت ومثالا يحتذى به لتعاون الأهالي والعشائر بمختلف انتماءاتهم ومذاهبهم لمواجهة وطرد الارهاب بالوحدة الوطنية بين ابناء المدينة.
تولى مهمة التنسيق مع الامم المتحدة حول المهجرين العراقيين جراء الاعمال الإرهابية. وتولى متابعة مؤسسة المعلوماتية لوضع مقاييس
العمل وأساليب البرمجة.
شغل منصب وزيرالاتصالات عام 2003، حيث أشرف على إعمار البدالات التي تدمرت أبان الحرب وأعاد خدمة الهواتف الارضية في وقت قياسي. واثناء توليه الوزارة، ابتدأ اول خدمة للموبايل والهاتف اللاسلكي والانترنت. كما وضع خطة للوزارة تعتمد تأهيل القدرات العراقية في قطاع الاتصالات، واستراتيجية لتطوير شامل واساسي للبنى التحتية على المستوى القريب والبعيد، وذلك باعتماد أحدث الاساليب التكنولوجية المتوفرة. كما رسم سياسة واضحة لقطاع الاتصالات وتطوير هيكلة عمل هذا القطاع في العراق من اجل إطلاق قدراته وتوفير الخدمة التي تحتاجها البلاد.
العمل المهني والوظيفي
تولى السيد حيدر العبادي رئاسة مؤسسة تكنولوجيا متطورة في لندن في 1993 بالاضافة الى عمله خبيرا في تكنولوجيا النقل السريع حتى 2003.
سجلت في عام 2001 براءة اختراع باسمه في لندن بالرقم (GB2 357 270A- 2001) لعمله في مجال النقل السريع (سنكروريل) باستخدام تكنولوجيا حديثة باعتماد اطروحته لشهادة الدكتوراه.
شارك في تصميم ناقل مشاة الكتروني لجسر الالفية الثانية في لندن في العام 1999 بناء على بحوثه لبراءة الاختراع.
في العام 1997 حصل على منحة الابداع من وزارة التجارة والصناعة البريطانية.
اشترك في وضع اسس النقل السريع للمدينة العمودية العملاقة المستقبلية في اليابان بمساحة مليون متر مربع والتي تتسع لمليون انسان وارتفاعها الف متر.
اصبح في عام 1987 خبيرا في تكنولوجيا النقل السريع في لندن.
عمل من 1981- 1987 رئيسا لفريق البحوث في شركة (ال دي بي) في لندن للنقل العمودي السريع وذلك باستخدام تكنولوجيا حديثة بالاعتماد على رسالته للدكتوراه.
بعد حصوله على شهادة البكالوريوس من الجامعة التكنلوجية في بغداد عام 1975، عمل معيداً فيها وذلك لتفوقه في الدراسة حيث كان تسلسله الثاني على القسم.
لديه بحوث علمية حول نظام مراقبة الاجهزة والتصاميم لانواع جديدة من المحركات الكهربائية ذات السيطرة الالكترونية كما وشارك في العديد من الندوات و المؤتمرات العلمية في بريطانيا.
النشاط السياسي:
يشغل حالياً منصب مسؤول المكتب السياسي لحزب الدعوة الاسلامية والمتحدث الرسمي باسمه اضافة الى عضويته في قيادةالحزب.
تولى مسؤولية التحدث باسم حزب الدعوة الاسلامية في الخارج (بريطانيا) خصوصاً لوسائل الاعلام العالمي للكشف عن جرائم النظام البائد والدفاع عن الشعب العراقي ورفض الحصار المفروض عليه، والحضور في المحافل الدولية وفي الامم المتحدة للتعريف بمظلومية الشعب العراقي في وقت كانت فيه الكثير من دول العالم تلتزم الصمت او تساند النظام البعثي في جرائمه ضد الشعب العراقي.
كان له حضور بارز في معارضة النظام البعثي والتصدي بحزم لعناصر النظام البائد في الخارج وشارك في نشاطات المعارضة ضد النظام. كما وساهم في المؤتمرات الوطنية للمعارضة التي شارك فيها حزب الدعوة الاسلامية.
تم في عام 1983 تم سحب جواز سفره بأمر من رئاسة مخابرات النظام السابق بتهمة ممارسته نشاط معادي لنظام البعث حسب الوثائق التي تم العثور عليها.
تولى في عام 1980مسؤولية مكتب الشرق الاوسط للحزب ومقره في بيروت.
اصبح في عام 1979 عضوا في القيادة التنفيذية لعموم الحزب.
اصبح في عام 1977 مسؤولا عن تنظيمات حزب الدعوة الاسلامية في بريطانيا.
انتمى لحزب الدعوة الاسلامية في 1967 بعد نكسة حزيران حين كان عمره آنذاك خمسة عشر عاما، ومارس نشاطه في الحزب وفي خارجه في ظل ظروف أمنية بالغة الخطورة، خصوصا مع استيلاء نظام البعث على مقدّرات البلاد واعتقال بعض مسؤوليه الدعاة الذين صمدوا صمود الابطال واستشهاد آخرين رحمهم الله تعالى.
اهتمامات اخرى
عمل استاذا لمواد علوم القرآن وآيات الاحكام والتفسير في الكلية الاسلامية التابعة الى جامعة برونيل البريطانية لطلاب البكالوريوس للأعوام من 1999 وحتى 2003
لديه بحوث عن موقف الاسلام من الديمقراطية ومفهوم الامة الواحدة وحول التعصب. واصدر كتابا بعنوان "المختصر في علوم القرآن". كما توجد لديه بحوث في اللغة الانكليزية حول تفسير القرآن وآيات الاحكام وآيات العقائد.
المشاركة والقاء المحاضرات في العديد من المؤتمرات والدورات ألاسلامية والثقافية والاشراف على عقد مؤتمرات ثقافية سنوية.
كان كابتن لفريق محلي لكرة القدم في الكرادة الشرقية بعمر 14-17، وشارك في بطولات الاشبال والشباب في بغداد و ديالى.
</t>
  </si>
  <si>
    <t>السيرة الذاتية للدكتور حيدر جواد العبادي
- الولادة والمحافظة: 1952 بغداد
- الحالة الاجتماعية: متزوج
- الموقع على الانترنت: h-alabadi.net
والده الدكتور جواد العبادي الطبيب المعروف والذي شغل منصب مدير مستشفى الجملة العصبية في بغداد ومفتش عام وزارة الصحة وتمت احالته على التقاعد في العام 1979 ضمن قائمة من 42 طبيبا بقرار من مجلس قيادة الثورة المنحل وذلك لعدم ولائهم لنظام البعث. توفى في لندن ودفن فيها رحمه الله لعدم سماح النظام البائد للمعارضين بدفن موتاهم في بلدهم
التحصيل الدراسي:
- درس الدكتوراه والماجستير في جامعة مانشستر في انكلترة على نفقته الخاصة وحصل على شهادة الدكتوراه في الهندسة الالكترونية والكهربائية في العام 1980.
- حاصل على شهادة البكالوريوس من الجامعة التكنولوجية في بغداد في الهندسة الكهربائية في العام 1975.
- انهى الدراسة الاعدادية في الاعدادية المركزية في بغداد في العام 1970.
- اكمل الدراسة الابتدائية والمتوسطة في الكرادة الشرقية في بغداد.
النشاط السياسي:
- حاليا مسؤول المكتب السياسي للحزب والمتحدث الرسمي باسمه اضافة الى عضويته في قيادة حزب الدعوة الاسلامية .
- تولى مسؤولية التحدث باسم حزب الدعوة الاسلامية في بريطانيا والخارج خصوصا لوسائل الاعلام العالمي في كشف جرائم النظام البائد وادانته والدفاع عن الشعب العراقي ورفض الحصار المفروض عليه والحضور في المحافل الدولية وفي الامم المتحدة للتعريف بمظلومية الشعب العراقي في وقت كانت الكثير من دول العالم تلتزم الصمت او تساند النظام البعثي في جرائمه ضد الشعب العراقي.
- كان له حضور بارز في معارضة النظام البعثي والتصدي بحزم لعناصر النظام البائد في الخارج وشارك في نشاطات المعارضة ضد النظام كما وساهم في المؤتمرات الوطنية للمعارضة التي شارك فيها حزب الدعوة الاسلامية.
- في العام 1983 تم سحب جواز سفره بأمر من رئاسة مخابرات النظام بتهمة ممارسة نشاط معادي لنظام البعث حسب الوثائق التي عثر عليها.
- في العام 1982 اعدم نظام البعث اثنين من اخوته احدهما استاذا جامعيا والثاني موظفا في الدولة بتهمة الانتماء لحزب الدعوة الاسلامية. وفي العام 1981 اعتقل النظام البائد اخاه الثالث الذي كان في السنة الثانية كلية الطب وقضى في السجن عشر سنين بنفس التهمة.
- في العام 1980 تولى مسؤولية مكتب الشرق الاوسط لحزب الدعوة الاسلامية الذي مقره بيروت.
- وفي العام 1979 أصبح عضوا في القيادة التنفيذية لحزب الدعوة الاسلامية.
- في العام 1977 كان مسؤولا عن تنظيمات حزب الدعوة الاسلامية في بريطانيا.
- انتمى لحزب الدعوة الاسلامية في العام 1967 بعد بضعة ايام من نكسة حزيران وكان عمره آنذاك خمسة عشر عاما ومارس نشاطه في الحزب وفي خارجه في ظروف أمنية بالغة الخطورة خصوصا مع استيلاء نظام البعث على مقدرات البلاد واعتقال بعض مسؤوليه الحزبيين الذين صمدوا صمود الابطال واستشهاد آخرين رحمهم الله.
المناصب السياسية:
- حاليا عضو في مجلس النواب حيث انتخب في العام 2006 عضوا في اول مجلس نواب دستوري في العراق الجديد عن مدينة بغداد.
- وفي نفس العام انتخب رئيسا للجنة الإقتصاد والإستثمار والإعمار وهي من اللجان الاساسية الفاعلة والحيوية في مجلس النواب ومن اهم انجازاتها تحت رئاسته: متابعة تطوير وتأهيل شركات القطاع العام للدولة من خلال التشريعات والتخصيصات المالية، ومتابعة تنفيذ الموازنات الاستثمارية واسباب التلكؤ في التنفيذ، والسعي لتوفير التسهيلات ومساندة القطاع الصناعي والزراعي وتشجيع الصناعات الوطنية ، والمساهمة في تشريع حزمة من القوانين الاقتصادية المهمة منها قانون الاستثمار وقانون حماية المستهلك وقانون حماية المنتجات الوطنية وقانون التعريفة الكمركية وقانون المنافسة ومنع الاحتكار وغيرها من القوانين الاساسية لتطوير وحماية الاقتصاد العراقي وتحسين المستوى المعاشي للمواطنين وتوفير فرص العمل الكريم لهم.
- في العام 2005 أصبح مستشارا لرئيس الوزراء حيث تولى عدة ملفات منها تعيينه منسقا عاما لمدينة تلعفر لتخليصها من سيطرة القاعدة والارهاب التكفيري حيث اعتبر ذلك من انجح انجازات الحكومة في ذلك الوقت ومثالا يحتذى به لتعاون الاهالى والعشائر بمختلف انتمائاتهم ومذاهبهم لمواجهة وطرد الارهاب بالوحدة الوطنية بين ابناء المدينة. كما تولى مهمة التنسيق مع الامم المتحدة حول المهجرين العراقيين جراء الاعمال الارهابية. وتولى متابعة مؤسسة المعلوماتية لوضع المقاييس لها وللحاسبات الرقمية في العراق
- عين وزيرا للاتصالات في العام 2003 حيث أشرف على إعمار البدالات التي دمرت أبان الحرب وإعادة خدمة الهواتف الارضية في وقت قياسي. وفي فترة توليه الوزارة توسعت خدمة الانترنت بشكل سريع كما ابتدأت اول خدمة للهاتف اللاسلكي. كما وضع خطة للوزارة تعتمد تأهيل القدرات العراقية في قطاع الاتصالات ، واستراتيجية لتطوير شامل واساسي للبنى التحتية على المستوى القريب والمديين المتوسط والبعيد وذلك باعتماد احدث التكنولوجية المتوفرة ، ورسم سياسة واضحة لقطاع الاتصالات وتطوير هيكلة عمل هذا القطاع في العراق من اجل اطلاق قدراته وتوفير الخدمة التي تحتاجها البلاد.
- وعلى الرغم من ان رخصة الهاتف النقال كانت قد اعلنت وفرزت من قبل سلطة الاحتلال المؤقتة قبل تسلمه مسؤولية وزارة الاتصالات وان قرار الإحالة الى ثلاث شركات قد صدر عن تلك السلطة ولم يكن بالامكان الغائها لان العراق سيبقى في ذلك الوقت بدون اية خدمة هاتفية على الاطلاق الا انه استطاع ان يفرض شروطا اضافية في الرخصة لمصلحة العراق منها وضع شروط على الشركات لتشغيل وتدريب ايدي عاملة عراقية تصل الى نسبة 90 في المائة خلال السنة الاولى ، واعطاء حق للحكومة العراقية ذات السيادة في تغيير الرخصة او الغائها في اي وقت قبل انتهاء مدة الرخصة وهي سنتان فقط ، ومنع احتكار الشبكات وفرض المنافسة لتوفير الخدمة الافضل والارخص للمواطن ، والزام الشركات بربط شبكاتها مع بعضها البعض الاخر ، والزام الشركات بنصب اجيال متطورة من الهاتف النقال ، واعتبار الشبكات ثروة وطنية لا يحق للشركات الغائها او منع الحكومة العراقية او اي شركة تحل محلها من استخدامها ، بالاضافة الى شرط اعتبار الاجازة لاغية وتقع غرامات على الشركة المعنية اذا ثبت ان في مساهميها عناصر تابعة للنظام السابق او كانت متعاونة معه.
العمل المهني والوظيفي:
- تولى رئاسة مؤسسة تكنولوجيا متطورة في لندن في العام 1993 بالاضافة الى عمله خبيرا في تكنولوجيا النقل السريع حتى العام 2003 حيث عاد الى العراق بعد سقوط النظام البائد.
- في العام 2001 تم تسجيل براءة اختراع في لندن لعمله في مجال النقل السريع (سنكروريل) باستخدام تكنولوجيا حديثة باعتماد اطروحته لشهادة الدكتوراه.
- شارك في تصميم ناقل مشاة الكتروني لجسر الالفية الثانية في لندن في العام 1999 بناء على بحوثه لبراءة الاختراع.
- في العام 1998 حصل على منحة الابداع للتكنولوجيا من وزارة التجارة والصناعة البريطانية.
- ساهم عام 1997 في التخطيط للنقل السريع للمدينة العمودية العملاقة الافتراضية والمخطط لبنائها في المستقبل في اليابان بمساحة مليون متر مربع والتي تتسع لمليون انسان وارتفاعها الف متر.
- في العام 1987 اصبح خبيرا في تكنولوجيا النقل السريع في لندن.
- عمل من عام 1981 الى 1987 رئيسا لفريق البحوث في شركة (أل دي بي) في لندن للنقل العمودي السريع وذلك باستخدام تكنولوجيا حديثة بالاعتماد على رسالته للدكتوراه. كما وتولى مسؤولية تنفيذ السيطرة الالكترونية في مشروع للنقل العمودي في وسط مدينة لندن.
- بعد حصوله على شهادة البكالوريوس في العام 1975 عمل معيدا في قسم الهندسة الكهربائية في الجامعة التكنولوجية في بغداد وذلك لكونه متفوقا في الدراسة حيث كان تسلسله الثاني في القسم.
- لديه بحوث علمية حول نظام مراقبة الاجهزة وتصاميم لانواع جديدة من المحركات الكهربائية ذات السيطرة الالكترونية كما وشارك في العديد من الندوات و المؤتمرات العلمية في بريطانيا.
اهتمامات اخرى:
- استاذا لمواد علوم القرآن وآيات الاحكام والتفسير في الكلية الاسلامية في لندن بالاشتراك مع جامعة برونيل البريطانية لطلاب دراسة البكالوريوس للاعوام 1999 وحتى 2003.
- لديه بحوث عن موقف الاسلام من الديمقراطية ومفهوم الامة الواحدة وحول التعصب واصدر كتابا بعنوان "المختصر في علوم القرآن".
- لديه بحوث باللغة الانكليزية حول تفسير القرآن ونصوص آيات الاحكام والعقيدة الاسلامية في آيات العقائد.
- المشاركة والقاء المحاضرات في العديد من المؤتمرات والدورات ألاسلامية والثقافية والاشراف على عقد مؤتمرات ثقافية سنوية.
- كان كابتن لفريق محلي لكرة القدم في الكرادة الشرقية وهو في عمر 14-17 وشارك في بطولات الاشبال والشباب في بغداد و ديالى</t>
  </si>
  <si>
    <t>https://facebook.com/HashimThaciOfficial</t>
  </si>
  <si>
    <t>https://facebook.com/HEBPMO</t>
  </si>
  <si>
    <t xml:space="preserve">www.pmo.gov.il </t>
  </si>
  <si>
    <t>http://www.pmo.gov.il/
http://www.flickr.com/photos/israelipm/
http://www.youtube.com/user/IsraeliPM
http://twitter.com/IsraeliPM_Heb</t>
  </si>
  <si>
    <t>https://facebook.com/heryvaovao</t>
  </si>
  <si>
    <t>https://facebook.com/HetKoninklijkHuis</t>
  </si>
  <si>
    <t xml:space="preserve">Welkom op de Facebookpagina van Het Koninklijk Huis
</t>
  </si>
  <si>
    <t>Op deze pagina doet de Rijksvoorlichtingsdienst (RVD) geregeld verslag van de activiteiten van Koning Willem-Alexander en Koningin Máxima. Reacties zijn zeer welkom maar hou er rekening mee dat beledigende of bedreigende berichten worden verwijderd. Reageer dus met respect voor anderen.
Welcome to the official Facebook page of the Dutch Royal House for Their Majesties King Willem-Alexander and Queen Máxima. Please note that any offensive or threatening comments will be deleted.</t>
  </si>
  <si>
    <t xml:space="preserve">Op alle foto’s op deze Facebookpagina berust beeldrecht. Duplicatie en commercieel gebruik zijn niet toegestaan, raadpleeg hiervoor de betreffende beeldbank. Voor meer informatie en het downloaden van portretfoto’s in hoge resolutie bezoek onze website http://www.koninklijkhuis.nl/foto-en-video/portretfotos/ 
Please note that the majority of photographs used on this page are not owned by the Royal House and therefore cannot be used for commercial and/or official purposes. </t>
  </si>
  <si>
    <t>https://facebook.com/HHSheikhMohammed</t>
  </si>
  <si>
    <t>https://facebook.com/Hon-Freundel-J-Stuart-QC-MP-161612180563912</t>
  </si>
  <si>
    <t xml:space="preserve">The Hon. Freundel Jerome Stuart, Q.C., M.P. was born on the 27th day of April, 1951 at the parish of St. Philip.
After receiving his primary education first at the St. Mark’s Boys’ and, later the St. Martin’s Junior School, he entered the Boys’ Foundation School where he received his secondary education.  On leaving the Boys’ Foundation School in 1969 he went to work as a teacher of Spanish and History at the Princess Margaret Secondary School.
While still a teacher, he registered as a part-time student at the Cave Hill Campus of the University of the West Indies in 1971.  He graduated in 1975 with the Bachelor of Arts degree with honours in Political Science and History.
In 1977, he entered the Faculty of Law of the University of the West Indies where he graduated in 1980 with the Bachelor of Laws degree with honours.  Between 1980 and 1982 he read for the Master of Laws degree in Public International Law where he specialized in the Nature and Sources of International Law;  Law of the Sea;  and International Law as it relates to Foreign Private Investment and the New International Economic Order.
Between 1982 and 1984 he read for the Legal Education Certificate at the Hugh Wooding Law School and was admitted to the Bar of Barbados.  He practised as a defence lawyer from 1984 until January, 2008.
The Hon. Freundel J. Stuart, Q.C., M.P., became a Member of Parliament for the Constituency of St. Michael South in January, 2008 and served as Deputy Prime Minister, Attorney General and Minister of Home Affairs until his appointment as Prime Minister on 23rd October, 2010.  Prior to this, Mr. Stuart served as a Senator during the period 2003 – 2007 and as Member of Parliament for St. Philip South during the period 1994 – 1999.
The Hon. Freundel J. Stuart, Q.C., M.P. was elevated to the status and dignity of Queens Counsel in September, 2008.  Mr. Stuart is single and is the father of one daughter.
</t>
  </si>
  <si>
    <t>https://facebook.com/horaciocartesoficial</t>
  </si>
  <si>
    <t>Twitter:@Horacio_Cartes 
Instagram: horaciocartespy
www.presidencia.gov.py</t>
  </si>
  <si>
    <t xml:space="preserve">
Horacio Cartes nace en Asunción el 5 de julio de 1956  en el seno de una familia cuya cabeza es su padre Don Ramón T. Cartes, quien le trasmite su fuerte sentido de responsabilidad y practicismo.
Después de culminar sus estudios, se especializó en motores de aviación en Estados Unidos para volver a Paraguay e iniciar sus emprendimientos comerciales a la temprana edad de 19 años, creciendo sostenidamente, por sobre todo, en sectores productivos del país como el agrícola, el ganadero y el industrial con más de 25 empresas líderes en la actualidad y con marcas como  Purosol, Watt’s,  Palermo y Pulp, estas dos últimas presentes hoy en el exigente mercado de EEUU.
Desde el inicio de su actividad empresarial, consideró que el progreso de sus empresas debe traer el progreso de sus colaboradores, que suman  más de 3500 personas, con una filosofía de Responsabilidad Social estructurada bajo los conceptos de oportunidad y responsabilidad.
Incursiona en el deporte en el Club Libertad y en la Selección Paraguaya, transformando al club en una potencia deportiva y llevando a la selección a los cuartos de final del Mundial Sudáfrica 2010 un hecho histórico para el deporte nacional.
Más adelante, y de la mano de gobernadores, legisladores, intendentes, y dirigentes de base de la Asociación Nacional Republicana, con quienes comparte ideales, recibe la propuesta de postularse como candidato para la Presidencia de la República del Paraguay. 
Horacio Cartes asume el desafío, proponiendo un nuevo rumbo para el país, con oportunidades para todos a partir de un gobierno responsable y eficiente. 
POLITICA DE COMENTARIOS Y USOS DE LA PAGINA
este espacio está habilitado para todos los paraguayos que creen,-
verdaderamente - que el Paraguay puede tomar un nuevo rumbo; hacia un
futuro mucho más próspero. El futuro que nos merecemos.
Queremos acercarte información de nuestra campaña,
escuchar tus sugerencias y opiniones, y utilizar la tecnología a favor
de la unidad y al servicio de nuestro pueblo, trabajando con la gente.
Para hacer de este un lugar constructivo, te pedimos respetar las
condiciones de esta red social. Para conocerlas podés ingresar
ahttp://www.facebook.com/terms.php.
Nos reservamos el derecho de borrar comentarios que no estén
relacionados con las actividades de la campaña; o no sean de interés
sobre el país y su gente (publicidades, propaganda, temas de índole
personal, et.c).  Publicaciones ofensivas, amenazantes, insultantes
(groserías, lenguaje lascivo), o discriminativas hacia cualquier sector social.
Igualmente, las acusaciones fuera de lugar, difamatorias, sin pruebas o fundamentos concretos.
Esperamos sí, que aquí compartas tu sana crítica, análisis político,
recomendaciones para nuestra campaña, ideas para su mejor gestión y
publicidad. 
¡Construyamos un espacio productivo donde nos encontremos
todos!
Gracias por tu apoyo, comprensión e interés!</t>
  </si>
  <si>
    <t>https://facebook.com/HukoomiQatar</t>
  </si>
  <si>
    <t xml:space="preserve">مرحباً بكم في الصفحة الرسمية لبوابة حكومة قطر الإلكترونية - حكومي ©
Welcome to the official Facebook page of Qatar Government Portal - Hukoomi ©
</t>
  </si>
  <si>
    <t xml:space="preserve">إن بوابة حكومة قطر الإلكترونية (حكومي) هي البوابة الرسمية التي تمكن جميع من يعملون أو يعيشون في دولة قطر من الوصول إلى المعلومات والخدمات التي يحتاجونها.
Hukoomi is the Qatar Government Portal, the official gateway to all the information and services you need to live, work or stay in Qatar.
</t>
  </si>
  <si>
    <t xml:space="preserve">يوفر موقع حكومي بوابة للمعلومات عن دولة قطر. وهناك الكثير الذي يمكنك القيام به عبر حكومي – حيث يمكنك إنجاز كل ما تحتاج إليه من دفع الفواتير الخاصة بك إلكترونيًا وتقديم طلبات للحصول على تأشيرات السفر أو التعرف على الفعاليات والأحداث التي تجرى في هذا الشهر من خلال استعراض صفحة الفعاليات!
Hukoomi is a gateway to information about the State of Qatar. There's so much you can do on Hukoomi -- everything from paying your bills online to applying for travel visas to checking out what's going on this month in the events listing!
** قواعد المشاركة **
هذه الصفحة مخصصة لمتابعي الموقع والمعجبين به ونحن نشجعكم على إرسال التعليقات والصور ومقاطع الفيديو هنا. إلا أننا سنقوم بمراجعة منتظمة للموقع وربما نقوم بحذف أي مواد تم إدخالها والتي نعتبرها غير لائقة أو التي تتضمن تسويقًا أو ترويجًا للمنتجات والخدمات الخاصة بمجموعة المعجبين بالموقع. كما أننا سوف نترك منشورات وتعليقات ذات صلة بالموضوعات التي يتم يتناولها في هذه الصفحة. يجب على جميع المستخدمين الالتزام بالشروط الخاصة باستخدام موقع فيس بوك ولا يمكن نشر أي مواد للتشهير أو الإساءة أو تشويه الآخرين بما في ذلك بوابة حكومي. يجب ألا تنطوي الصور والتعليقات التي يرسلها المستخدمون على نشر معلومات فاحشة أو غير لائقة أو مضللة أو غير مشروعة. جميع المواد التي يتم تحميلها على هذه الصفحة يجب أن يكون قد تم الحصول على إذن كامل من جميع المؤلفين أو أصحاب حقوق الملكية أو أصحاب الشأن في هذا الموضوع أو الصور للقيام بذلك قبل تحميلها. ويحتفظ موقع حكومي بالحق في حذف أي مشارك أو إزالة أي مواد تكون منافية أو غير مطابقة للقواعد المذكورة أعلاه.
** Participation Guidelines **
This is a Facebook Page and we encourage you to leave comments, photos, and videos here. However, we will regularly review the site and may remove any postings that we deem inappropriate or which may be marketing products and services to our fan group. We will leave postings and comments that relate to the subjects covered on this Page. All users must comply with Facebook’s Terms of Use and cannot post any materials that defame, abuse or misrepresent others, including Hukoomi. User postings and comments should not distribute information that is obscene, indecent, misleading on unlawful. All materials uploaded onto this Page must have full permission of all subjects, authors or owners of the subject and the image before uploading. Hukoomi reserves the right to permanently remove any participant and postings that fail to adhere to the above rules. </t>
  </si>
  <si>
    <t>+974 44069999 , 109</t>
  </si>
  <si>
    <t>https://facebook.com/hunsencambodia</t>
  </si>
  <si>
    <t>hunsencambodia</t>
  </si>
  <si>
    <t>https://www.facebook.com/hunsencambodia/</t>
  </si>
  <si>
    <t>https://facebook.com/IBK.Officiel</t>
  </si>
  <si>
    <t xml:space="preserve">Candidat et vainqueur à la Présidence du Mali en 2013.
Ibrahim Boubacar Keïta (IBK) est un homme politique malien né à Koutiala (Sud du Mali) en 1945. Député de Bamako depuis 2002, réélu en 2007, il préside le Rassemblement pour le Mali (RPM), un parti qu’il a créé en 2001. 
Ancien élève du prestigieux lycée parisien Janson de Sailly, Ibrahim Boubacar Keïta a poursuivit son cursus à l’Université Panthéon-Sorbonne où il a obtenu un Diplôme d’études approfondies (DEA) en sciences politiques et un autre en histoire des relations internationales contemporaines (IHRIC). Après ses études, il a été chargé de recherche au célèbre Centre national de la recherche scientifique (CNRS) et a enseigné les systèmes politiques du Tiers-Monde à l’Université de Paris Tolbiac. De retour au Mali en 1986, IBK s’est impliqué dans le développement économique et social de son pays en tant que conseiller technique principal de l’Union européenne pour le Fonds européen de développement (FED), puis au sein de l’ONG Terre des hommes France, dont il a été le directeur pour l’Afrique de l’Ouest.  
Déjà militant au sein de l’association des étudiants africains de France, Ibrahim Boubacar Keïta  participe dès 1986, dans la clandestinité, au mouvement démocratique malien qui amène la révolution de 1991 mettant fin à 23 ans de dictature. Il est membre fondateur de l’Alliance pour la démocratie au Mali (Adema), parti à l’origine de l’émancipation démocratique, et dont il sera le président de 1994 à 2000. Pendant la première campagne électorale libre et transparente, Ibrahim Boubacar Keïta contribue activement, en tant que directeur adjoint de campagne, à l’élection triomphale d’Alpha Oumar Konaré en avril 1992 sous les couleurs de l’Adema. IBK est alors nommé successivement porte-parole et conseiller diplomatique du président Konaré, puis en 1993 Ambassadeur  en Côte d’Ivoire, au Bénin et au Gabon, avec résidence à Abidjan, ministre des affaires étrangères, et enfin Premier ministre de 1994 à 2000. 
On peut retenir de son action de chef du gouvernement la résolution de la crise scolaire mettant fin aux grèves, la signature d’accords de paix avec la rébellion touarègue du nord du pays en 1996, ou la mise en œuvre de la loi de décentralisation. Il a également conduit les mesures économiques qui ont permis d’atténuer l’impact de la dévaluation du franc CFA intervenue quelques semaines après sa nomination. Son style de gouvernement est marqué par le respect scrupuleux de l’autorité de l’Etat et de l’état de droit. 
A la suite de désaccords au sein de son parti, IBK quitte l’Adema en 2000 et fonde le Rassemblement pour la République (RPM) en juin 2001, suivi par une bonne frange des militants. Son nouveau parti, qui en tant que membre de l’Internationale socialiste partage les valeurs sociale-démocrates, le porte comme candidat à l’élection présidentielle d’avril 2002. Ibrahim Boubacar Keïta arrive 3ème avec 2x% des suffrages et son sens de la responsabilité le pousse, malgré de nombreuses irrégularités,  à accepter le verdict de la Cour Suprême, contre l’avis même de ses partisans. Il apporte alors son soutien à Amadou Toumani Touré, qui est élu au second tour face à Soumaïla Cissé, candidat de l’Adema. Quelques semaines plus tard, le RPM arrive en tête des élections législatives, et IBK, élu député à Bamako, se voit logiquement porté à la présidence de l’Assemblée nationale. Pendant son mandat de 5 ans, il a contribué, dans un cadre consensuel, à dynamiser cette jeune institution et a permis de faire voter des textes importants tels que la loi d’orientation agricole, la réforme du code minier... 
A nouveau candidat à la présidentielle en 2007, il est le seul représentant d’un grand parti car tous les autres choisissent d’apporter leur soutien au Président de la République Amadou Toumani Touré, qui est réélu au premier tour. IBK, qui conserve son siège de député, devient un opposant constructif et respectueux des institutions, jusqu’à apporter son soutien au gouvernement sur les grandes causes nationales : éducation, lutte contre le terrorisme... Cela dit, il est lucide sur la situation actuelle du pays, caractérisée par un délabrement de l’autorité de l’Etat, une aggravation de la menace terroriste dans le Nord du pays, de nouveaux défis économiques à surmonter, et l’inquiétante mauvaise santé de l’éducation nationale. Ce constat plaide en faveur d’un homme d’expérience respecté au Mali et à l’extérieur, et dont le sens de l’Etat est indiscutable. C’est la raison pour laquelle de nombreuses voix appellent déjà le président du RPM à se porter à nouveau candidat à l’élection présidentielle de 2012, à l’issue du second et dernier mandat du président sortant. 
Ibrahim Boubacar Keïta est Grand Officier de l’Ordre National du Mali et Commandeur de la Légion d’honneur française. Il a été vice président de l’Internationale socialiste, et a également présidé l’Union des parlementaires africains. 
------------------------------------------------------
Former candidate and winner of the 2013 presidential election in Mali, Ibrahim Boubacar Keita, also known as IBK, is a Malian politician born in 1945 in Koutiala (southern Mali). In 2002, he was elected deputy at the National Assembly and subsequently re-elected in 2007. He is the current president of the Rassemblement Pour le Mali (RPM), Rally For Mali which he founded in 2001.
Former attending student at the prestigious Parisian High School, Janson de Sailly, Ibrahim Boubacar Keita continued his academic career at the Pantheon-Sorbonne University where he earned two degrees (Diplôme d’Etudes Approfondies), one in Political Science and the other one in History of Contemporary International Relations. After his studies, Keita became head of research at the famous Centre National de la Recherche Scientifique (CNRS) while teaching Third World political systems at Paris-Tolbiac University. Upon his return in Mali in 1986, with the aim to contribute to the social and economical betterment of its country, IBK joined the European Union Development Fund as their main technical advisor in some West African countries, including Mali, Niger and Burkina Faso. He, then, joined Terre des Hommes France, a French NGO, as its director for West Africa.
First as a militant in the African student association of France, Ibrahim Boubacar Keita later joined, as early as 1986, the clandestine democratic movement responsible for the 1991 revolution that ended a 23 year dictatorship. He is a founding member of Alliance pour la Democratie au Mali (Adema), one of the political parties that spurred democracy in the country, and which he presided over from 1994 to 2000. During the first plural democratic presidential elections, Keita contributed to the successful election of Alpha Oumar Konare in April of 1992, as the candidate campaign’s assistant director. Following the elections, Ibrahim B. Keita was respectively appointed spokesperson, diplomatic advisor to the president and within two months  he was appointed plenipotentiary ambassador of Mali in Gabon, Niger, Burkina Faso and Cote d’Ivoire with residence in Abidjan until 1993. In November of that year, he was appointed minister of Foreign Affairs and in February of the following year, he became Prime Minister (1994-2000).
As the head of the government, IBK worked to resolve the education crisis by putting an end to the untiring strikes; he fostered the peace accords that ended the Tuareg rebellion in the north of the country in 1995 and he emphasized on the administration’s decentralization process. Moreover, just a month after his appointment as Prime minister, his leadership and vision helped soften the impact of the devaluation of the currency (CFA franc) on the national economy. His leadership style is described as one of strict respect of the rule of law and of State’s Authority.
Due to disagreements within the party, Keita left, along with a myriad of members, the Adema in 2000 to create another party called the Rally For Mali (Rassemblement Pour le Mali-RPM) in June of 2001. This new party, which is a member of the Socialist International and shares social-democrat values, would nominate him as the candidate for the presidential elections of 2002. Despite frauds and irregularities and against his militants wishes, IBK, with 23% of votes and guided by his republican values, called on them to accept the decision of the Constitutional Court. For the second round, he threw his  support on Amadou Toumani Toure against the runner-up, Soumaila Cisse, who was the candidate of Adema. Weeks later, during the legislative elections, the RPM won the majority of seats in the National Parliament making IBK, a deputy from Bamako, the president of that institution. 
During his 5 year tenure as President of the National Assembly, Mr. Keita contributed to the improvement of the young institution and he was also able to pass bi-partisan laws such as the Agricultural Orientation Law and the reform of the Mining Code.
During the 2007 presidential elections, although all other parties decided to support President Toure, who was running for a second and last term, his party nominated him again as candidate making him the only candidate from an important party to participate in the elections. After the presidential elections won by Toure, IBK was able to retain his deputy’ seat during the legislative elections that followed suit. As the most emblematic opposition figure, he has been engaging the institutions, on all aspect of National life, in a constructive and respectful manner beyond partisanship; hence, his support of the Toure’s administration on issues such as the education and the fight against terrorism. 
Nevertheless, Ibrahim Boubacar Keita remains aware of the disastrous situation that the country is sinking in, like the erosion in State’s Authority, the aggravation of the terrorist threat in the Northern part of the country, the economical challenges due to an increasing globalized world and the inability to resolve the educational crisis. 
This brief summary reinforces the attributes of an experienced man, well respected both in Mali and abroad and whose dedication to the Malian nation suffers no ambiguity. This is the reason that plenty of voices are already calling on him to present his candidacy for the 2012 presidential elections.
Ibrahim Boubacar Keita received many honors, both in his home country and abroad. Such distinctions are: Grand Officier de l’Ordre National du Mali and Commandeur de la Légion d’Honneur française. He also presided over the African Parliamentary Union and he was Vice-President of the Socialist International.
</t>
  </si>
  <si>
    <t>https://facebook.com/IraqPMMediaOffice</t>
  </si>
  <si>
    <t>Isabel de Saint Malo de Alvarado cuenta con más de 20 años de experiencia en asesoría, desarrollo e implementación de políticas públicas en América Latina, tanto en organismos internacionales como en sector privado. A lo largo de su carrera profesional ha contribuido al dialogo para unir a la gente, promoviendo consensos para el desarrollo del país.
Por 15 años trabajó con el Programa de Naciones Unidas para el Desarrollo como Gerente del Programa de País para Panamá. Posteriormente, fue parte del equipo que diseñó y ejecutó los Acuerdos de Panamá 2000, también conocidos como Acuerdos de Coronado, en el marco de los cuales se acordara la legislación nacional para crear la Autoridad del Canal de Panamá.
Culminó su carrera con las Naciones Unidas como Directora del proceso de Concertación Nacional para el Desarrollo en el año 2007. Fue Embajadora Alterna de Panamá ante la Organización de Naciones Unidas en Nueva York y posteriormente miembro del equipo nacional de negociación para diversos esfuerzos políticos regionales, desde sus funciones en el Ministerio de Relaciones Exteriores de Panamá.
Fue consultora internacional del Programa de Naciones Unidas para el Desarrollo como miembro del equipo de expertos regionales.  En el 2010 fungió como Facilitadora Independiente del proceso de diálogo nacional instalado por la Presidencia de la República para reformar la Ley 30. El mismo fue instalado producto de un acuerdo para finalizar una crisis nacional. El diálogo logró renegociar la ley íntegramente a satisfacción de empresarios, trabajadores, indígenas, sector ambiental y Gobierno.</t>
  </si>
  <si>
    <t xml:space="preserve">Vicepresidenta y Ministra de Relaciones Exteriores de la República de Panamá
</t>
  </si>
  <si>
    <t>https://facebook.com/IsraeliPM</t>
  </si>
  <si>
    <t>https://facebook.com/IsraeliPM.Arabic</t>
  </si>
  <si>
    <t>https://facebook.com/IsraelMFA</t>
  </si>
  <si>
    <t xml:space="preserve">www.mfa.gov.il </t>
  </si>
  <si>
    <t>The Israel Ministry of Foreign Affairs has created this Facebook page as a resource of information on the State of Israel's foreign relations and to provide updates on the Ministry and its Missions' activities to the general public.
All media produced by the Israel Ministry of Foreign Affairs is released under the Creative Commons Attribution 3.0 license on condition that all copies, re-distributions and transmissions attribute the source with the understanding that any of the above conditions may be waived.
User comments posted on this page do not constitute an official endorsement on behalf of the Ministry of Foreign Affairs.
------------------------------------------------
User posting guidelines:
So as encourage the expression of opinions and open discussion with Ministry staff, we have enabled user posting on the wall but ask that you respect our user posting guidelines:
• Violent, obscene, profane, hateful, or racist content will be deleted and repeat offenders blocked from the page without notice.
• Comments that threaten or defame any person or organization will be deleted and repeat offenders blocked from the page without notice.
• Solicitations, advertisements, or endorsements of any financial, commercial organizations will be deleted and repeat offenders blocked from the page without notice.
Thank you.
------------------------------------------------
If you have a media query, please contact the Ministry's spokesperson through your media contacts. 
For all other inquires of importance, please email us.
Shalom!
משרד החוץ מקדם יחסים דיפלומטיים, צמיחה כלכלית וידידות בין מדינת ישראל ומדינות העולם.
משרד החוץ  יצר עמוד פייסבוק זה כמקור של מידע על יחסי החוץ של מדינת ישראל ועל מנת למסור עדכונים  מטעם משרד החוץ ולדווח על הפעילויות של נציגויותיו לטובת הציבור הרחב.
כל המדיה המופקת בידי משרד החוץ מופצת תחת רשיון Creative Commons Attribution 3.0 בתנאי שכל העתק, הפצה חוזרת ושימוש כלשהו בתכנים יכללו ייחוס למקור המידע.
תגובות המשתמשים המפורסמות בעמוד זה אינן מייצגות תמיכה רשמית מצד משרד החוץ בעמדות המוצגות במסגרתן.
--------------------------------------------------
הנחיות לגבי אופן הפרסום
אנו מאפשרים פרסום תגובות על מנת לעודד את חופש הביטוי והדיון הפתוח עם משרד החוץ. נבקש כי משתמשים ישמרו על כללים מסוימים בבואם לפרסם תגובות בעמוד הפייסבוק של משרד החוץ:
תגובות אלימות - תוכן הכולל שנאה וגזענות יימחק, משתמשים שיחזרו על התנהגות מעין זו ייחסמו משימוש בעמוד ללא הודעה מוקדמת.
תגובות הכוללות השמצה ואיומים כלפי אדם או ארגון - יימחקו. משתמשים שיחזרו על התנהגות מעין זו ייחסמו משימוש בעמוד ללא הודעה מוקדמת.
תגובות הכוללות פרסומות מסחריות ודברי תמיכה בגופים מסחריים וכלכליים - יימחקו. משתמשים שיחזרו על התנהגות מעין זו יימחקו מהעמוד ללא הודעה מוקדמת.
תודה.
--------------------------------------------------
בכל שאלה הדורשת התייחסות רשמית של המשרד, אנא פנו אל דובר משרד החוץ באמצעות אנשי קשר באמצעי התקשורת.
בכל פנייה חשובה אחרת, אנא כיתבו אלינו באמצעות הדוא"ל.</t>
  </si>
  <si>
    <t>https://facebook.com/IstanaUntukRakyat</t>
  </si>
  <si>
    <t>https://facebook.com/ItamaratyGovBr</t>
  </si>
  <si>
    <t>O Ministério das Relações Exteriores é o órgão da administração pública federal responsável pelas relações do Brasil com os demais países e pela participação brasileira em organizações internacionais. Executa a política externa definida pela Presidência da República conforme os princípios estabelecidos no art. 4º da Constituição Federal. 
As origens do Ministério das Relações Exteriores remontam a 1821, quando houve a separação entre a Secretaria de Negócios Estrangeiros e a Secretaria de Guerra. Após a Proclamação da República, em 1889, a Secretaria de Negócios Estrangeiros foi denominada “Ministério das Relações Exteriores”.
Quer saber mais sobre o Ministério das Relações Exteriores, suas atribuições e seu trabalho? Acesse a seção de “Perguntas frequentes” em nossa página: http://bit.ly/1McQbE3
● Página: www.itamaraty.gov.br
● Twitter: twitter.com/ItamaratyGovBr
● Twitter em inglês: twitter.com/Itamaraty_EN
● Twitter em inglês: twitter.com/Itamaraty_ES
● Flickr: flickr.com/MREBrasil
● Instagram: instagram.com/itamaratygovbr
● Vídeos: youtube.com/mrebrasil
● Áudios: soundcloud.com/ItamaratyGovBr</t>
  </si>
  <si>
    <t>Aqui você encontrará informações sobre as atividades do Ministério das Relações Exteriores do Brasil. Também divulgamos links e notícias sobre temas de política externa e de interesse para os brasileiros que vivem no exterior.
Estamos abertos a sugestões de novos assuntos. Seus comentários serão sempre bem-vindos, mas existem algumas regras. Serão removidos os comentários que:
● forem postados repetidamente;
● forem agressivos, ofensivos ou obscenos;
● forem fraudulentos, difamatórios ou que induzam a erro;
● violem qualquer lei, norma ou regulamento;
● violem qualquer direito de propriedade intelectual;
● revelem preconceito racial, de gênero ou religioso;
● contenham propagandas ou links para sites que não tenham relação com o conteúdo da página ou discussão.
Tentaremos responder às suas mensagens o mais rápido possível, mas nem sempre teremos as informações solicitadas. Algumas vezes indicaremos onde você poderá obter o que deseja diretamente.
Por exemplo, caso tenha alguma crítica ou sugestão a fazer sobre os serviços prestados pelos nossos Setores Consulares de Embaixadas ou Consulados no exterior, sugerimos que entre em contato diretamente com a Ouvidoria Consular (ouvidoria.consular@itamaraty.gov.br).
Caso tenha dúvidas sobre a legalização de documentos, por favor, escreva para o Setor de Legalização de Documentos e Rede Consular Estrangeira (slrc@itamaraty.gov.br) e/ou para a Ouvidoria Consular (ouvidoria.consular@itamaraty.gov.br).
Para atenção à imprensa, entre em contato com a Assessoria de Imprensa do Gabinete do MRE pelo email imprensa@itamaraty.gov.br ou pelos telefones +55 61 2030-8006/8007/6160.
Esta página é mantida pela Assessoria de Imprensa do Gabinete do Ministério das Relações Exteriores.</t>
  </si>
  <si>
    <t>https://facebook.com/JamaicaHouse</t>
  </si>
  <si>
    <t>https://facebook.com/Japan.PMO</t>
  </si>
  <si>
    <t>This is the official Facebook page of Prime Minister's Office of Japan. 
http://japan.kantei.go.jp/index.html</t>
  </si>
  <si>
    <t>https://facebook.com/JapanGov</t>
  </si>
  <si>
    <t xml:space="preserve">This is the official Facebook of the Government of Japan. </t>
  </si>
  <si>
    <t xml:space="preserve">The Government of Japan Facebook Page Moderation Policy 
1.	Administration
(1)	This Facebook Page is managed by:
The Public Relations Office, Cabinet Office and the Office of Global Communications, Cabinet Secretariat
(2)	Content of posts
This facebook page introduces the policies and ideas of  the Government of Japan. We will post our most up to date activities with some photographs, 
2.	Management of comments
(1)	Responding to comments
In principle, the Government of Japan will not respond to any comments or messages posted on the Facebook page.
(2)	Deleting comments
We reserve the right to exercise our copyright over our Facebook pages, and for that purpose to use Facebook functions, to hide, in part or in full, delete or decline comments which are non-relevant to the item posted to the wall, or comments which are deemed to fall under any of the following conditions without notifying the users. 
•	Comments which infringe law, ordinance, or other regulations;
•	Comments which violate public order and morals;
•	Comments which promote criminal acts;
•	Comments which slanders or defames a particular individual, company, group, or other entities, or damages reputation or trustworthiness; 
•	Comments which breach privacy, including disclosing and leaking personal information without the authorization of its owner; 
•	Comments which breach third-party rights, including patents, design rights, copyrights, trademarks, and portrait rights;
•	Comments with purpose to generate profit;
•	Comments which include false information or significantly deviate from truth;
•	Comments which violate the Facebook policy; 
•	Comments which are designed to cause nuisance to the page administrator. 
•	Comments which include abusive, obscene, indecent, offensive words, hate speech or link to websites with such contents
•	Comments which intend to take viewers to other websites, without expressing any views or opinions
•	Comments with same or similar contents posted repeatedly by the same user. 
(3) Banning users
We also reserve the right to ban users who post comments listed above. Those users who violate the moderation policy may be banned permanently.
3.	URL of the Government of Japan Official Facebook Page
　　http://www.facebook.com/JapanGov
4.	Modification of the Moderation Policy
We may at any time, without notice, revise these policies and other information contained in this page.
5.	Intellectual property rights
Intellectual property rights over the photographs, illustrations, audio, video, and text, etc., posted on the page, belong to the Government of Japan or those with valid rights. 
People are free to use “Like” and “Share” functions for the posts on the Facebook page. All information on the pages, may be reused with attribution. However, this does not apply to information marked “All Rights Reserved.” 
6.	Disclaimer
•	The Public Relations Office, Cabinet Office, and the Office of Global Communications, Cabinet Secretariat, are taking every possible care to ensure the accuracy of the information posted on the page. However, the Government of Japan, the Public Relations Office, Cabinet Office, and the Office of Global Communications, Cabinet Secretariat, cannot accept responsibility for any consequences whatsoever that may result from decisions or actions taken by users based on the information on the page.
•	Please note that the Public Relations Office, Cabinet Office, and the  Office of Global Communications, Cabinet Secretariat, are not responsible for any inter-user trouble caused by the page or damages suffered as a result, or for any user-third party trouble caused by the page or damages suffered as a result.
•	The copyright and other rights of the posts, including comments, belong to the users who made the post. However, by posting content, it is deemed that the user licensed the right to utilize the content globally at no charge and on a non-exclusive basis to the Government of Japan, and it is deemed that the user has consented to not exercising its copyright or other rights against the Government of Japan.
•	The Government of Japan bears no responsibility for any other damages caused by the page.
</t>
  </si>
  <si>
    <t>https://facebook.com/JBishopMP</t>
  </si>
  <si>
    <t xml:space="preserve">Official Facebook Page of the Hon Julie Bishop MP
Australian Minister for Foreign Affairs
Deputy Leader of the Liberal Party
Federal Member for Curtin
</t>
  </si>
  <si>
    <t>https://facebook.com/JimmyOficial</t>
  </si>
  <si>
    <t xml:space="preserve">Guatemala necesita hijos honestos y trabajadores. #JimmyMoralesPresidente
</t>
  </si>
  <si>
    <t xml:space="preserve">Jimmy Morales nace en Guatemala el 18 de marzo de 1969. Sus estudios de primaria, básicos y diversificado, los realiza en el Instituto Evangélico América Latina (IEAL) en dónde se gradúa de Perito Contador. Posteriormente ingresa al Seminario teológico Bautista a estudiar un profesorado en teología y de forma simultánea ingresa a la Facultad de Ciencias Económicas de la Universidad de San Carlos de Guatemala (USAC) donde obtiene una licenciatura en Administración de empresas. 
En los 90´s se desarrolla en el área de asesoría financiera y gestión bancaria para la pequeña y mediana empresa, experiencia que despierta su espíritu emprendedor incitándolo a la generación de empresa. Ese espíritu emprendedor, le ha valido una exitosa carrera como empresario y comunicador, siendo creador y fundador de diversas empresas que, a la fecha, son líderes en su género.
A la fecha posee el pensum cerrado en administración de medios de comunicación  de la universidad Panamericana. 
Una maestría en altos estudios estratégicos con especialización en seguridad y defensa. Realizó estudios en producción audiovisual en Radio Televisión Española en Madrid España y ha participado en un alto número de diplomados de administración pública y políticas públicas. Ha completado los cursos en estudios avanzados de investigación del Doctorado en Seguridad Estratégica, de la Facultad de Derecho de la Universidad de San Carlos de Guatemala (Pénsum cerrado).
Ha sido docente universitario en la facultad de ciencias económicas y en la escuela de ciencias de la comunicación en la USAC y es un destacado conferencista en temas de emprendedurismo, comunicaciones y liderazgo con valores. 
Cree en el nacionalismo y profesa un profundo amor por Guatemala.
</t>
  </si>
  <si>
    <t>https://facebook.com/JMSantos.Presidente</t>
  </si>
  <si>
    <t>https://facebook.com/JOMAV-Presidente-580510255379054</t>
  </si>
  <si>
    <t xml:space="preserve">Presidente da República da Guiné-Bissau
</t>
  </si>
  <si>
    <t>https://facebook.com/josephmuscatdotcom</t>
  </si>
  <si>
    <t xml:space="preserve">Joseph Muscat became the leader of the Labour Party in Malta in October 2008.
The Labour Party led by Joseph Muscat is a movement of moderates and progressives who are working towards creating a fair society and a better future for all.
Joseph Muscat has been active in politics since 1994, and in 2006 was awarded the prize of Outstanding Young Person of the year for his contribution to political life.
Prior to his election as leader of the Labour Party, Joseph Muscat was a very active MEP in the European Parliament for four years. He was the first MEP to be elected in the first elections to the European Parliament held in Malta in 2004.
Within the European Parliament, Joseph Muscat campaigned on a wide range of issues: from workers rights and taxation to the environment and social issues, among many others. His contribution to the work of the European Parliament also included achievements in areas such as the third anti money laundering directive, mobile telephony and amendments to the vehicle registration tax.
Joseph Muscat is married to Michelle and are parents of twin daughters.
</t>
  </si>
  <si>
    <t xml:space="preserve">Interests:
Sports, literature and music are amongst my interests. I pursue my own fitness regime regulary and enjoy playing table tennis and football. Additionally I support Local National football team Rabat Ajax and follow Italian Serie A club AC Milan frequently.
Favorite Music:
Genesis, Offspring, Bruce Springsteen, Coldplay and Moby.My favourite music genre is progressive rock, I`m the proud owner of rock band Marillion`s collections and met their ex front man Fish on two occassions.
Favorite Books:
I enjoy reading and my favourite authors are Philip Roth, C.J. Sansom, Alexander McCall Smith and Tracy Chevalier.
</t>
  </si>
  <si>
    <t>https://facebook.com/juanorlandoh</t>
  </si>
  <si>
    <t>https://facebook.com/juhasi.fi</t>
  </si>
  <si>
    <t xml:space="preserve">http://www.juhasi.fi/ </t>
  </si>
  <si>
    <t>Uskon Suomen tulevaisuuteen. Selviydymme, kun meillä on rohkeutta tehdä ratkaisuja, jotka luovat työpaikkoja ja turvallisuutta sekä ottamalla vastuuta lähimmäisistämme ja omasta elämästämme.
Laitetaan Suomi yhdessä kuntoon!</t>
  </si>
  <si>
    <t>https://facebook.com/JunckerEU</t>
  </si>
  <si>
    <t>https://facebook.com/JustinPJTrudeau</t>
  </si>
  <si>
    <t xml:space="preserve">Online Community Guidelines: lpc.ca/a17v. 
Lignes directrices pour la communauté virtuelle: lpc.ca/a17w.
</t>
  </si>
  <si>
    <t>https://facebook.com/jzarif</t>
  </si>
  <si>
    <t xml:space="preserve">محمد جواد ظریف
وزیر امور خارجه
</t>
  </si>
  <si>
    <t>https://facebook.com/KabminUA</t>
  </si>
  <si>
    <t>https://facebook.com/kancelaria.premiera</t>
  </si>
  <si>
    <t>https://facebook.com/KazakhstanMFA</t>
  </si>
  <si>
    <t>Welcome to our Facebook page. Our official website is http://mfa.gov.kz
We have our Channel on YouTube http://www.youtube.com/foreignministry
Follow us on Twitter @MFA_KZ</t>
  </si>
  <si>
    <t>2 July 1992</t>
  </si>
  <si>
    <t xml:space="preserve">This is the official Facebook page of the Ministry of Foreign Affairs, Republic of Kazakhstan. It is intended to provide information via multimedia about the MFA and its work. 
To maintain a respectful dialogue, the MFA asks that comments: 
-	Stay focused. Comments should remain relevant to the content posted on this page. 
-	Be respectful. Personal attacks and profanity are prohibited. Postings that include unlawful, harassing, abusive, threatening, defamatory, libellous, pornographic, vulgar, obscene or otherwise objectionable material of any kind or nature will be deleted. 
-	Do not include spam. Repeated posting of identical or very similar content (including promoting products or services) is prohibited. 
The MFA reserves the right to determine which comments violate this policy. It also reserves the right to remove and/or not allow certain comments to get posted. </t>
  </si>
  <si>
    <t>Consular Hotline:
+7 (7172) 720 472 (during office hours)
+7 (7172) 720 111 (off hours)</t>
  </si>
  <si>
    <t>+7 (7172) 720 518, 720 517, 720 513</t>
  </si>
  <si>
    <t>https://facebook.com/Kemlu.RI</t>
  </si>
  <si>
    <t>www.kemlu.go.id
http://twitter.com/Portal_Kemlu_RI</t>
  </si>
  <si>
    <t>Akun Facebook Resmi Kementerian Luar Negeri RI.   Untuk Versi Bahasa Inggris dapat di klik pada link di bawah.</t>
  </si>
  <si>
    <t>https://facebook.com/khadamotimatbuot</t>
  </si>
  <si>
    <t>Хадамоти матбуоти Президенти Ҷумҳурии Тоҷикистон (минбаъд Хадамот) идораи мустақили Дастгоҳи иҷроияи Президенти Тоҷикистон мебошад.
Хадамот доир ба тарғибу ташвиқи фармон, амр ва дастурҳои Президенти Тоҷикистон, Қонунҳои Ҷумҳурии Тоҷикистон, қарорҳои Ҳукумати Ҷумҳурии Тоҷикистон оид ба татбиқи сиёсати дохилӣ ва хориҷии давлати Тоҷикистон тавассути воситаҳои ахбори умум фаъолият намуда, ба ташаккули афкори мусбати ҷомеа мусоидат мекунад.
Вазифаҳои асосии Хадамот аз таъминоти иттилоотии фаъолияти Президенти Ҷумҳурии Тоҷикистон ва Ҳукумати мамлакат тавассути омода кардани ахбори расмӣ, гузоришҳои муфассал ва дигар маводи иттилоотию таҳлилӣ оид ба ҷараён ва натиҷаҳои он, гузаронидани нишастҳои матбуотӣ ва мусоидат кардан ба воситаҳои ахбори умум баҳри омодасозии мавод иборат мебошад.
Хадамот иҷрои вазифаҳои худро дар ҳамоҳангӣ бо дигар мақомоти ҳокимияти давлатӣ, ташкилоту муассисаҳои ҷамъиятӣ ва хадамоти матбуотии онҳо ва ҳамчунин бо воситаҳои ахбори умум ба роҳ мемонад.
Масъулони хадамоти матбуот ҷараёни равандҳои сиёсию иҷтимоӣ, иқтисодӣ ва фарҳангии дохил ва хориҷи кишвар ва ҳамчунин инъикоси фаъолияти Президенти Тоҷикистон ва Ҳукумати мамлакатро дар воситаҳои ахбори умум пайваста зери назорат қарор дода, дар ҳолатҳои зарурӣ ба роҳбарият ахборот пешниҳод мекунанд.</t>
  </si>
  <si>
    <t>https://facebook.com/Khamenei.Es</t>
  </si>
  <si>
    <t>https://facebook.com/KingJigmeKhesar</t>
  </si>
  <si>
    <t xml:space="preserve">"I believe that Gross National Happiness today is a bridge between the fundamental values of kindness, equality, and humanity and the necessary pursuit of economic growth."
- Address to the Bhutanese University Graduates of 2007 
"Throughout my reign I will never rule you as a King. I will protect you as a parent, care for you as a brother and serve you as a son. I shall give you everything and keep nothing; I shall live such a life as a good human being that you may find it worthy to serve as an example for your children; I have no personal goals other than to fulfill your hopes and aspirations. I shall always serve you, day and night, in the spirit of kindness, justice and equality."
-Coronation Address to the Nation, 6 November 2008
"As citizens of the world, our unifying force – our strength must also come from something that is not bound by nation, ethnicity or religion – from fundamental human values. Values shape the future of humanity."
-Royal Address delivered at the Calcutta University Convocation, 5 October 2010
</t>
  </si>
  <si>
    <t>https://facebook.com/klausiohannis</t>
  </si>
  <si>
    <t>M-am născut pe 13 iunie 1959, la Sibiu, într-o familie modestă de saşi transilvăneni. Deși părinții mei au emigrat în anii '90 în Germania, eu am ales să rămân în Sibiu. Am urmat cursurile Facultății de Fizică din cadrul Universității "Babeș Bolyai" din Cluj Napoca și, începând cu anul 1983, mi-am îndeplinit visul de a mă afla de cealaltă parte a catedrei la liceul în care am studiat. Am predat la mai multe şcoli şi licee din Sibiu, inclusiv la Colegiul Național “Samuel von Brukenthal”, după care, până în anul 2000, am activat ca inspector general în același domeniu educațional care mi-a adus cele mai mari satisfacții.
Începând cu anul 1990, am devenit membru al Forumului Democrat German din România. M-am aflat la președinția Forumului timp de 12 ani, începând din 2002, iar în anul 2000, am avut onoarea de a fi desemnat drept candidat din partea FDGR la alegerile pentru Primăria Sibiului. Deși niciun sondaj nu indica asta, în luna iunie a aceluiași an, am fost ales primar al Sibiului și am continuat să reprezint prima opțiune a sibienilor la toate alegerile ce au urmat. Astăzi, sunt Președinte al României, în urma alegerilor prezidențiale din noiembrie 2014.
În mandatul meu, Sibiul a primit titlul "Capitală Europeană a Culturii", în anul 2007 - alături de Luxemburg - și a găzduit numeroși oficiali externi – șefi de stat, înalți demnitari, ambasadori. Sibiul este, pentru mine, un univers la scară mică, este oglinda a ceea ce îmi doresc eu pentru România. Este un oraș curat, prosper și atractiv, este exemplul viu și dovada clară că se poate.
Pe 20 februarie 2013, am semnat adeziunea la Partidul Național Liberal. O zi mai târziu, colegii mei de partid au votat în unanimitate o derogare de vechime care mi-a permis să candidez la o funcție în conducerea partidului. La congresul extraordinar din luna februarie a anului trecut, am fost ales prim-vicepreședinte al PNL. Un an și patru luni mai târziu, am primit 95% din voturile delegaților la Congres din toată țara pentru funcția de președinte al Partidului Național Liberal.
Astăzi, în calitate de președinte ales al românilor, port o imensă onoare. Port, de asemenea, o uriașă responsabilitate - aceea de a aduce România pe drumul drept, de a o transforma într-un stat de drept autentic, prosper și demn. Îmi doresc ca fiecare român să se simtă în țara lui ca acasă, o casă pe care o iubești și de care ești mândru.</t>
  </si>
  <si>
    <t>https://facebook.com/KolindaGrabarKitarovic</t>
  </si>
  <si>
    <t>Predsjednica Republike Hrvatske -  službena Facebook stranica</t>
  </si>
  <si>
    <t>Kolinda Grabar-Kitarović obavljala je dužnost pomoćnice glavnog tajnika NATO-a za javnu diplomaciju od srpnja 2011. godine do rujna 2014. godine. Prije službe u NATO-u bila je veleposlanica Republike Hrvatske u Sjedinjenim Američkim Državama od 2008. do 2011. godine. Obnašala je dužnost ministrice europskih integracija, a potom i ministrice vanjskih poslova i europskih integracija u Vladi Republike Hrvatske od 2003. do 2008. godine.  Na temelju svog opsežnog iskustva jedna je od vodećih hrvatskih stručnjaka za euroatlantske odnose i sigurnosna pitanja.
Rođena u Rijeci, Kolinda Grabar-Kitarović diplomirala je na Filozofskom fakultetu Sveučilišta u Zagrebu. Završila je i Diplomatsku akademiju u Beču, a potom magistrirala iz područja međunarodnih odnosa na Fakultetu političkih znanosti Sveučilišta u Zagrebu. Kao dobitnica Fulbrightove stipendije za prijedoktorski studij iz međunarodnih odnosa i međunarodne sigurnosne politike usavršavala se na Sveučilištu George Washington u Washingtonu. Isto tako, dobitnica je stipendije Lukšić za usavršavanje u području upravljanja u visokim strukturama vlasti na sveučilištu Harvard u Sjedinjenim Američkim Državama. Bila je i gost istraživač na Sveučilištu Johns Hopkins u Washingtonu.  
Svoj profesionalni put započela je 1992. godine kao savjetnica pri Odjelu za međunarodnu suradnju u Ministarstvu znanosti i tehnologije, a potom je postala savjetnica u Ministarstvu vanjskih poslova. Godine 1995. postaje načelnicom Odjela za Sjevernu Ameriku u Ministarstvu vanjskih poslova, a od 1997. do 2000. godine obnaša dužnost diplomatskog savjetnika, a potom i ministra savjetnika i zamjenika šefa misije u Veleposlanstvu RH u Kanadi. 
U studenom 2003. godine izabrana je za zastupnicu u Hrvatskom saboru. Te iste godine postaje ministrica europskih integracija.  Za ministricu vanjskih poslova i europskih integracija prisegnula je u veljači 2005. godine. Glavni cilj njena mandata bio je voditi Hrvatsku na putu u euroatlantske integracije.
Kolinda Grabar-Kitarović tečno govori engleski, španjolski te portugalski jezik, a služi se i francuskim, talijanskim i njemačkim jezikom.
Prva je žena u povijesti NATO-a koja je obnašala dužnost pomoćnice glavnog tajnika, kao najviše rangirana žena u NATO-u.</t>
  </si>
  <si>
    <t>https://facebook.com/Kongehuset</t>
  </si>
  <si>
    <t>https://facebook.com/kormanyzat</t>
  </si>
  <si>
    <t>https://facebook.com/ksamofa</t>
  </si>
  <si>
    <t xml:space="preserve">دأبت المملكة بطبيعتها ومقوماتها المستمدة من عقيدتها الاسلامية السمحة على العمل على ترسيخ مبادئ الاحترام المتبادل للدول الصديقة وعدم التدخل في شؤون الغير. وقد شهدت المملكة بمعطيات هذه السياسة الهادئة المتزنة تطورا في علاقاتها الثنائية والدولية. </t>
  </si>
  <si>
    <t xml:space="preserve">ان الدبلوماسية من أهم أدوات السياسة الخارجية للدولة، فقد انشأ الملك عبد العزيز -رحمه الله -  في عام 1344هـ/1926م المديرية العامة للشؤون الخارجية بمكة المكرمة، وفي عام 1349هـ صدر الأمر الملكي الكريم بإنشاء وزارة الخارجية (أول وزارة بالمملكة) ونص الأمر على تعيين الأمير فيصل بن عبد العزيز  -رحمه الله - نائب الملك في الحجاز وزيرا لها. 
</t>
  </si>
  <si>
    <t>https://facebook.com/Kungahuset</t>
  </si>
  <si>
    <t>https://facebook.com/LajcakMiroslav</t>
  </si>
  <si>
    <t>https://facebook.com/larsloekke</t>
  </si>
  <si>
    <t>https://facebook.com/leehsienloong</t>
  </si>
  <si>
    <t xml:space="preserve">I am the Prime Minister of Singapore and leader of the People's Action Party.
You can find my CV at http://www.pmo.gov.sg/cabinet/mr-lee-hsien-loong </t>
  </si>
  <si>
    <t>https://facebook.com/LibyanGovernment</t>
  </si>
  <si>
    <t>https://facebook.com/luisguillermosolisr</t>
  </si>
  <si>
    <t>https://facebook.com/macedonianpresident</t>
  </si>
  <si>
    <t xml:space="preserve">Претседателот, д-р Ѓорге Иванов е роден во Валандово на 2 мај 1960 година. По завршувањето на основното и на средното образование во Валандово, ги започнал студиите по право на Универзитетот „Свети Кирил и Методиј" во Скопје.
За време на студиите започнал со политички активизам во либералните, реформски младински организации. Во 1988 година почнува неговата седумгодишна новинарска кариера во Македонската радио-телевизија, каде што напредувал до позицијата уредник на Третата програма. Во текот на медиумската кариера бил активен во напорите за реформирање на политичкиот систем. Со распадот на еднопартискиот модел и диригираната економија на тогашна Југославија, активизмот на Ѓорге Иванов во младинските движења беше насочен кон промовирање на политичкиот плурализам и на пазарната економија. Оваа активност ја продолжува на Универзитетот, на кој почнува со работа во 1995 година. Магистрира политички науки на темата „Цивилно општество – новите контрадикторности на старата расправа". Неговиот докторат е насочен кон градењето демократија во поделени општества, конкретно обработувајќи го примерот на Република Македонија.
На политичките студии на Правниот факултет „Јустинијан Први" во Скопје, професор Иванов работеше на претставување нови научни погледи на политиката меѓу своите студенти, на кои им предава политичка теорија и политичка филозофија. Притоа, тој промовира нови методи на предавање, помагајќи да се отвори македонската академска заедница кон западните универзитети, носејќи модерна литература, политолошки списанија и поврзувајќи ги македонските факултети во раните фази на развојот на Интернетот. Во 1999 година е именуван за визитинг-професор на Програмата за Југоисточна Европа на Универзитетот во Атина, Грција. Свесен дека отворањето на Македонија кон Запад ќе биде процес за кој се потребни напорите на повеќе генерации, професор Ѓорге Иванов стана активен во ТЕМПУС-програмата на Европската унија за Македонија, воведувајќи реформи во наставната програма и магистерски програми на англиски јазик. Како професор престојувал и држел предавања на повеќе странски универзитети и учествувал во меѓународни проекти. Бил раководител на политичките студии и продекан на Правниот факултет „Јустинијан Први" во Скопје.
Ѓорге Иванов е водечки експерт на полето на цивилното општество и меѓу првите кој вовел систематско проучување во македонската академска заедница. Тој бил консултант на врвни аналитички и истражувачки центри. Генерации лидери ја минале неговата обука за политички менаџмент. Професорот Иванов е меѓу коосновачите на првото македонско списание за политичка наука – „Политичка мисла". Тој е основач и на првата политолошка струкова Асоцијација во независна Македонија. Иванов е и еден од основачите на Институтот за демократија, солидарност и цивилно општество, реномиран аналитички центар во Македонија кој помогна да се обликува македонската политичка сцена и кој насочи многу млади таленти во политиката. Иако никогаш не бил партиски член, професорот Ѓорге Иванов беше активен во формулирањето на реформската програма на политичката партија ВМРО-ДПМНЕ, која го номинираше за претседателски кандидат на изборите во 2009 година.
Во текот на својот мандат како претседател оствари рекордна дипломатска агенда со преку 200 билатерални средби со шефови на држави. Преку 150 средби со премиери, претседатели на парламенти и шефови на дипломатија. Преку 100 официјални, работни и неформални посети и учества на меѓународни настани. За време на својот мандат оствари повеќе од 100 средби со други странски државници, со високи претставници на меѓународни организации и со верски лидери. Беше домаќин на над 40 официјални и работни посети на шефови на држави на Република Македонија. Во кабинетот пречекуваше илјадници граѓани од најразлични етнички и верски групи, од струкови организации, невладини организации. Беше покровител на бројни домашни и меѓународни културни, научни и спортски настани. Одликуваше бројни поединци и институции во земјава и во странство, од кои пет поранешни и актуелни шефови на држави.
За време на претседателскиот мандат со несмален интензитет продолжи неговата поддршка, соработка, дискусии и предавања со студентите. Одржуваше предавања не само на сите јавни универзитети во Република Македонија, туку и на врвни странски универзитети при многу од своите државнички посети. Најдобрите студенти доаѓаа кај него и нивните сугестии и забелешки, тој ги пренесуваше на ректорите на универзитетите и на надлежното министерство, за заедно да најдат решенија на предизвиците.
Востанови награда „Најдобар млад научник".
Стана препознатлив по Школата за млади лидери низ која со нови знаења, искуства и вештини се стекнаа преку 150 млади луѓе. Со својот ангажман привлече преку 100 најреномирани универзитетски професори, државници и екперти како предавачи на Школата.
Професор Ѓорге Иванов бил повеќепати поканет како предавач на реномирани универзитети во европските центри. Во октомври 2009 година во Анкара му беше доделана титулата Почесен доктор на науки на ТОББ Универзитетот за економија и технологија, еден од најреномираните приватни универзитети во Турција, при што претседателот говореше на тема „Милет системот – заборавена историја или рецепт за иднината". Титулата Почесен доктор на науки на претседателот Иванов, вторпат во неговиот мандат, му ја додели ректорот на Универзитетот „Истанбул" во март 2011 година. На таа свечена пригода професор Ѓорге Иванов одржа предавање на тема: „Мегалополисите како модел за управување на општествата на 21 век". Последниот од низата почесни докторати на претседателот Иванов му беше доделен во Букурешт, Романија, на Христијанскиот универзитет „Димитрие Кантемир" во октомври 2011 година. Во октомври 2013 година беше прогласен за почесен професор на Југозападниот универзитет за финансии и економија во Ченгду, Кина, а во февруари 2014 година одржа предавање и беше прогласен за почесен професор на престижниот Московски државен универзитет „Ломоносов". Во септември 2011 година, претседателот Иванов беше одликуван со највисокиот Орден на редот на „Св. Лазарус" од Ерусалим. Во декември 2013 година, претседателот Иванов беше одликуван со Орденот на свети Ѓорѓи од Куќата Хабсбург-Лотринген.
Во март 2012 година во Салцбург, претседателот Иванов беше инаугуриран за протектор на Европската академија на науките и уметностите. Во декември 2013 година, претседателот Иванов стана член на Светската академија на науките и уметностите.
Претседателот Иванов е оженет и има еден син.
* * *
President Gjorge Ivanov was born in Valandovo, on May 2, 1960. After completing his elementary and high school education in Valandovo, he commenced his legal studies at Ss. Cyril and Methodius University in Skopje.
In the course of his studies, he became politically active in liberal and reformist-oriented youth organizations. In 1988, his seven-year career as journalist with the national broadcaster "Macedonian Radio Television" began, where he was ultimately promoted to the position of Editor of the Third Programme. During his media career, he was also active in the political system reformation efforts. After the collapse of the one-party model and the guided economy of the then Yugoslavia, Gjorge Ivanov's activism in the youth movements aimed at promoting political pluralism and free market economy. He proceeded with this activity at the University, where, in 1995, he was employed. He earned a Master's Degree in Political Science, elaborating the thesis titled: "Civil Society - New Contradictions of an Old Debate". His PhD thesis was focused on building democracy in divided societies, particularly elaborating the case of the Republic of Macedonia.
At the Political Studies Department within the Iustinianus Primus Faculty of Law in Skopje, Professor Ivanov worked on introducing new scientific views on the politics among his students, teaching them political theory and political philosophy. Thus, he promoted new teaching methods which helped open the Macedonian academia to the Western universities, making the contemporary literature and political journals closer to the students and connecting the Macedonian faculties to the Internet, in the early development stages. In 1999, he was appointed as Visiting Professor to the South-East Europe Programme at the University in Athens, Greece. Aware that the opening of Macedonia to the West would be a process requiring efforts of several upcoming generations, Professor Gjorge Ivanov became active in the European Union TEMPUS Programme for the Republic of Macedonia, introducing reforms in the curriculum and English language Master Programmes. As professor, he stayed and delivered lectures at a number of foreign universities and participated in many international projects. He was the Head of the Political Studies Department and Vice Dean of the Iustinianus Primus Faculty of Law in Skopje.
Gjorge Ivanov is a leading expert in the field of civil society and among the very first to introduce systematic research in the Macedonian academic society. He was a consultant to prominent think-tanks and research centers. Generations of leaders have passed his training in political management. Professor Ivanov is one of the co-founders of the first Macedonian political science journal "Political Opinion". He is founder of the first Political Science Association in independent Macedonia. Ivanov is also one of the founders of the Institute for Democracy, Solidarity and Civil Society, a renowned Macedonian think-tank which has helped shape the political landscape in Macedonia and served as guide to many young talents in the politics. Although never a party member, Professor Gjorge Ivanov was active in designing the reform policy of the political party VMRO-DPMNE, the party that supported his presidential nomination in 2009.
During his tenure as president, he has sustained a record diplomatic agenda with more than 200 bilateral meetings with heads of state; more than 150 meetings with prime ministers, speakers and chiefs of diplomacy; more than 100 official, working and informal visits and participations at international events. During his tenure, he has held more than 100 meetings with other foreign dignitaries, high and senior officials of international organizations and religious leaders. He has hosted over 40 official and working visits of heads of state to the Republic of Macedonia. He has welcomed in the President's Office thousands of citizens of various ethnic and religious groups, professional associations and non-governmental organizations. He was a patron of numerous domestic and international cultural, scientific and sporting events. He has decorated a number of individuals and institutions in the country and abroad, including five former and current heads of state.
During his presidency, he continued unabatedly his support, cooperation, discussions and lectures with the students. He delivered lectures not only at all public universities in the Republic of Macedonia, but also at the top foreign universities as part of many of his statesman's visit. The best students were received by him and he presented their suggestions and remarks to the rectors of the universities and the competent Ministry, so that, jointly, solutions to the challenges could be found.
He introduced the award "Best Young Scientist".
He became recognized by the School for Young Leaders which has provided new knowledge, experience and skills to more than 150 young people. With his commitment thereof, he has attracted over 100 renowned university professors, statesmen and experts as lecturers at the School.
Professor Gjorge Ivanov has received numerous invitations to give lectures at renowned universities in the European centers. In October 2009 in Ankara, he was awarded the title Doctor Honoris Causa at the TOBB University of Economics and Technology, one of the most prominent private universities in Turkey, where the President talked on the topic "The Millet System – Forgotten History or Recipe for the Future". The title Doctor Honoris Causa was second time awarded to President Ivanov in his presidential term by the Rector of the Istanbul University in March 2011. On that solemn occasion, Professor Gjorge Ivanov held a lecture on "The Megapolis as a Societal Management Model of the 21st Century". The last awarded title Doctor Honoris Causa, President Ivanov received in Bucharest, Romania, at the Christian University "Dimitrie Cantemir" in October 2011. In October 2013, he was named Honorary Professor at the Southwestern University of Finance and Economics in Chengdu, China, and in February 2014, he gave a lecture and was named Honorary Professor at the prestigious Moscow State University "Lomonosov". In September 2011, President Ivanov was awarded the highest Order of the St. Lazarus Order from Jerusalem. In December 2013, President Ivanov was awarded the Order of St. George's House of Habsburg-Lotringen.
In March 2012, in Salzburg, President Ivanov was sworn Protector of the European Academy of Sciences and Arts. In December 2013, President Ivanov became a member of the World Academy of Arts and Sciences.
President Ivanov is married and has one child.
</t>
  </si>
  <si>
    <t>+ 389 2 3 251 3113</t>
  </si>
  <si>
    <t>https://facebook.com/mae.romania</t>
  </si>
  <si>
    <t>+40 21 319.21.08; +40 21 319.21.25</t>
  </si>
  <si>
    <t>https://facebook.com/maeie.md</t>
  </si>
  <si>
    <t>https://facebook.com/maithripalas</t>
  </si>
  <si>
    <t>https://facebook.com/malcolmturnbull</t>
  </si>
  <si>
    <t>https://facebook.com/manuelgonzalezscr</t>
  </si>
  <si>
    <t>Ex-Ministro de Comercio Exterior.
Ex-Presidente de la Promotora de Comercio Exterior (PROCOMER).
Ex-Embajador de Costa Rica ante Organismos de Naciones Unidas en Ginebra, Suiza.
Ex-Vicepresidente de la Comisión de Derechos Humanos de Naciones Unidas.
LL.M. Maestría - Columbia Univesity, Nueva York.
Licenciado en Derecho, Universidad de Costa Rica.</t>
  </si>
  <si>
    <t>https://facebook.com/margot.wallstrom</t>
  </si>
  <si>
    <t>https://facebook.com/Mariano-Rajoy-Brey-54212446406</t>
  </si>
  <si>
    <t>Il-paġna Uffiċjali ta' Marie-Louise Coleiro Preca - President ta' Malta
Other Social Media Platforms:
Twitter: @presidentmt
Instagram: president.mt</t>
  </si>
  <si>
    <t>Marie-Louise Coleiro Preca hija d-disa’ President tar-Republika ta’ Malta. Hija ħadet il-ġurament ta’ President ta’ Malta nhar l-4 ta’ April 2014 permezz ta’ riżoluzzjoni parlamentari li ġiet approvata unaninament mill-Kamra tar-Rapreżentanti fl-1 ta’ April 2014.
Fl-eta’ ta’ 55 sena, Coleiro Preca hija l-iżgħar President tal-pajjiż u hija t-tieni mara li qed tokkupa l-kariga ta’ Kap ta’ Stat wara 32 sena. 
In-nominazzjoni tagħha immarkat żvilupp ieħor fl-istorja Kostituzzjonali ta’ Malta hekk kif il-membri kollha tal-Parlament Malti approvaw in-nomina ta’ Coleiro Preca.
Marie-Louise Coleiro Preca twieldet f’Ħal Qormi fis-7 ta’ Diċembru 1958. Hija rċiviet l-edukazzjoni tagħha fl-iskola Primarja ta’ San Ġorġ f’Ħal Qormi, f’Maria Reġina Grammar School ta’ Blata l-Bajda u fil-Polytechnic, l-Imsida.  Aktar tard gradwat mill-Universita’ ta’ Malta, fil-Baċellerat Legali u Studji Umanistiċi kif ukoll Diploma ta’ Nutar Pubbliku.
Coleiro Preca ilha attiva fil-politika għal dawn l-aħħar erbgħin sena, sa’ mill-eta’ ta’ 16-il sena. Fi ħdan il-Partit Laburista hija serviet bħala membru tal-Eżekuttiv Nazzjonali, Assistent Segretarju Ġenerali u Segretarju Ġenerali.
Hija kienet Segretarju Ġenerali bejn l-1982 u l-1991. Coleiro Preca hija l-unika mara li qatt okkupat din il-kariga eletta daqstant importanti f’partit politiku Malti.
Coleiro Preca kienet ukoll membru tal-Bureau Nazzjonali taż-Żgħażagħ Soċjalisti, President tal-Għaqda Nisa Laburisti, fundatur tal-Fondazzjoni Ġuże Ellul Mercer u stampatur tal-gazzetta, Il-Ħelsien.  
Coleiro Preca serviet ukoll fil-bord tad-diretturi tal-Maltacom plc (illum magħrufa bħala l-Kumpanija GO), kif  ukoll  tal-Libyan Arab Maltese Holding Company.  Kienet membru wkoll fil-Kummissjoni Nazzjonali għal Moralita’ Fiskali. 
Marie-Louise Coleiro Preca serviet bħala deputat fil-Kamra tar-Rapreżentanti mill-1998 sal-2014. Fl-elezzjoni ġenerali tal-2008 hija kienet l-ewwel kandidata li ġiet eletta fil-Parlament.  
Bħala deputata tal-Oppożizzjoni hija kienet Kelliema Ewlenija għall-Politika Soċjali, għat-Turiżmu u l-AirMalta, għas-Saħħa u membru tal-Kumitat Parlamentari għall-Affarijiet Soċjali u dak tal-Familja.  Serviet ukoll fid-delegazzjoni Parlamentari fil-Kunsill tal-Ewropa u f’diversi kumitati li jaqgħu fi ħdanu.
Nhar it-13 ta’ Marzu 2013, Marie-Louise Coleiro Preca inħatret bħala Ministru għall-Familja u Solidarjeta’ Soċjali. Matul is-sena li kienet fil-kariga Ministerjali hija bdiet sensiela ta’ riformi u tiżviluppa għadd ta’  strateġiji fis-settur soċjali.
Fost ir-riformi ewlenin li saru tul il-ħidma Ministerjali tagħha kien hemm dik fil-qasam tal-housing soċjali, strateġija integrata tal-informatika li qed tħaffef il-proċessi fl-għoti tal-benefiċċji. Tant li sa’ l-aħħar tas-sena 2014, dawk li jaslu għall-eta’ ta’ l-irtirar, dawk li jkunu eliġibbli għal marriage grant, dawk li jieħdu l-pensjoni tar-romol u c-children’s allowance, se jingħatawlhom mingħajr il-ħtiega ta’ ħafna proċeduri u telf ta’ ħin.  
Tat bidu għall-ħidma b’rabta mal-introduzzjoni tas-single means testing mechanism, kif ukoll  għal riforma sħiħa fil-qasam tal-welfare u għal sistema aktar effettiva kontra l-frodi tal-benefiċċji soċjali.
Matul it-tnax -il xahar ta’ ħidma bħala Ministru ngħata bidu għall-iżvilupp tal-istrateġija għas-sostennibilita’ u l-adegwetezza tal-pensjonijiet. Ħadmet biex jiġu indirizzati l-anomaliji fil-pensjonijiet tal-ex-ħaddiema tat-Tarzna. Introduċiet għadd ta’ miżuri bħal l-għoti tal-pensjoni sħiħa lir-romol li jkunu jaħdmu u l-għoti tac-children’s allowance antiċipat biex għenet f’budgeting aħjar fil-familji.  
Bħala Ministru, Coleiro Preca ipproniet diversi leġislazzjonijiet quddiem il-Parlament, fosthom l-Att dwar il-Protezzjoni tat-Tfal li se jkun parti mill-Att dwar it-Tfal. Waqqfet ukoll is-SART (Sexual Assault Response Team), fejn għall-ewwel darba hemm post wieħed minn fejn vittmi ta’ stupru jirċievu s-servizzi kollha, taħt saqaf wieħed.
F’Diċembru tal-2013, flimkien mal-Kummissarju Ewropew għax-Xogħol, l-Affarijiet Soċjali u l-Inklużjoni László Andor, Coleiro Preca niedet il-proġett LEAP. Dan il-proġett ko-finanzjat mill-Fond Soċjali Ewropew qed jara t-twaqqif taċ-Ċentri għar-Riżorsi tal-Familja li se jipprovdu servizzi fil-qalba tal-komunitajiet.
F’Jannar 2014, flimkien mal-Prim Ministru ta’ Malta Dr Joseph Muscat, Coleiro Preca niedet Green Paper: Struttura Għal Tnaqqis fil-Faqar u Għal Inklużjoni Soċjali. Bħala parti mill-ħidma tagħha biex tindirizza l-faqar u l-esklużjoni soċjali, introduċiet għajnuna supplimentari għall-ulied, fejn se jibbenefikaw madwar 22,000 tifel u tifla.
Marie-Louise Coleiro Preca hija miżżewġa lil Edgar Preca u għandha tifla.</t>
  </si>
  <si>
    <t>https://facebook.com/mauriciomacri</t>
  </si>
  <si>
    <t>Cuando fui a abrir la puerta de mi casa, uno de los tipos me agarró por atrás mientras otro me golpeó en la cara con el puño. Me empujaron hacia una camioneta blanca que estaba estacionada con el motor en marcha y alguien al volante. El que me tenía agarrado me dijo “callate y bajá la cabeza”. Al rato estaba metido en un ataúd en la parte de atrás de una Volkswagen...
Seguir leyendo: www.mauriciomacri.com.ar/el-gran-desafio</t>
  </si>
  <si>
    <t>https://facebook.com/MEAINDIA</t>
  </si>
  <si>
    <t xml:space="preserve">Ministry of External Affairs (MEA)  is the Nodal Ministry responsible for the Foreign Relations of India. </t>
  </si>
  <si>
    <t xml:space="preserve">The Ministry of External Affairs is headquartered at South Block, New Delhi. Other External Affairs offices are housed in Jawaharlal Nehru Bhawan, Shastri Bhavan, Patiala House and the ISIL Building.
</t>
  </si>
  <si>
    <t>Advancing India's National Security and Developmental Priorities in a
Globalized and Interdependent World</t>
  </si>
  <si>
    <t>https://facebook.com/merrionstreet</t>
  </si>
  <si>
    <t>MerrionStreet.ie Irish Government News Service, affords a view of government from the vantage point of Government Buildings itself. It brings together on one website, a view of government not previously available. We hope it is of value to a citizen, to a journalist or to any interested party in Ireland and around the world.
MerrionStreet.ie reviews the wide range of government activity and then reports certain key events as news. All government press releases are accessible from our website – either by way of RSS feed or by way of links to all government departments. But our central task is to take a variety of events and report on them objectively, in the language of a news bulletin. We also feature ‘Issues’ where useful thematic information, not tied to a particular date, is presented.
We use the latest audio-visual tools and Internet capabilities to hopefully bring these events to life. We have video, audio, photographs, text, links to other websites and much useful data which people can share. We are linked to YouTube, Flickr, Facebook and Twitter.
MerrionStreet.ie is produced by a team in Government Buildings, involving the Government Information Service, Government Press and IT. The objective is not to create a competition with traditional media in terms of deadlines, scope or scoop. Indeed we hope journalists find MerrionStreet.ie a useful reference point, and are free to report and use its elements. But it will allow people with an interest in the work of government to view latest developments on one website, which over time will become a valuable archive of information.
Government Buildings is the centre of government. It is from here that An Taoiseach, the Head of Government, co-ordinates the work of the Government. The Cabinet meets on a weekly basis. It is where government decisions are made. The Taoiseach sets broad government policy. The perspective of MerrionStreet.ie starts with the work of the Taoiseach and reaches out to wider government, reporting what it regards as important government events and issues. MerrionStreet.ie does not engage in any party political comment.
It will allow a citizen to hear or read again, the words of the Taoiseach or a Minister on an important subject. It will allow you to review many speeches in full, giving you a clearer picture of government intent.</t>
  </si>
  <si>
    <t>https://facebook.com/mfa.afghanistan</t>
  </si>
  <si>
    <t>https://facebook.com/MFA.Armenia</t>
  </si>
  <si>
    <t>Հայաստանի Հանրապետության արտաքին գործերի նախարարությունը գործադիր իշխանության հանրապետական մարմին է, որը Հայաստանի Հանրապետության Նախագահի ընդհանուր ղեկավարությամբ մշակում եւ իրականացնում է արտաքին գործերի բնագավառում Հայաստանի Հանրապետության քաղաքականությունը, կազմակերպում եւ ղեկավարում է դիվանագիտական ծառայությունը` իրեն վերապահված լիազորությունների շրջանակներում:
ՀՀ ԱԳՆ-ն գործում է ՀՀ սահմանադրության, օրենսդրության, Նախագահի հրամանագրերի, կարգադրությունների եւ նրա կողմից կանխանշված արտաքին քաղաքական ուղեգծի հիման վրա: Արտգործնախարարությունը համակարգում է Հանրապետության գործադիր իշխանության մարմինների գործունեությունը միջազգային ասպարեզում:</t>
  </si>
  <si>
    <t>+374 60 620 000</t>
  </si>
  <si>
    <t>https://facebook.com/mfa.gov.sd</t>
  </si>
  <si>
    <t xml:space="preserve">press.mfasudan@gmail.com
</t>
  </si>
  <si>
    <t>https://facebook.com/mfa.gr</t>
  </si>
  <si>
    <t>+30 210 3681000</t>
  </si>
  <si>
    <t>https://facebook.com/mfa.tj</t>
  </si>
  <si>
    <t>Facebook Page of the Ministry of Foreign Affairs of the Republic of Tajikistan!
Cаҳифаи расмии Вазорати корҳои хориҷии Ҷумҳурии Тоҷикистон дар Facebook!</t>
  </si>
  <si>
    <t>Facebook Page of the Ministry of Foreign Affairs of the Republic of Tajikistan!
Страница Министерства иностранных дел Республики Таджикистан в Facebook!
Cаҳифаи расмии Вазорати корҳои хориҷии Ҷумҳурии Тоҷикистон дар Facebook!</t>
  </si>
  <si>
    <t>https://facebook.com/MFAAzerbaijan</t>
  </si>
  <si>
    <t xml:space="preserve">Azərbaycan Respublikasının Xarici İşlər Nazirliyinin rəsmi Facebook səhifəsi
</t>
  </si>
  <si>
    <t xml:space="preserve">Xarici İşlər Nazirliyi tərəfindən Azərbaycan Respublikasının Konstitusiyası və müvafiq qanunları, Azərbaycan Respublikası Prezidentinin və Nazirlər kabinetinin fərman və sərəncamları, Azərbaycan Respublikasının milli təhlükəsizlik və “Azərbaycan 2020: Gələcəyə baxış” inkişaf konsepsiyası, ölkəmizin milli maraqları və Azərbaycan Respublikasının qoşulduğu beynəlxalq hüquqi sənədlər əsasında Azərbaycan Respublikasının xarici siyasət fəaliyyəti həyata keçirilir.
</t>
  </si>
  <si>
    <t>https://facebook.com/MFABulgaria</t>
  </si>
  <si>
    <t xml:space="preserve">http://www.mfa.bg </t>
  </si>
  <si>
    <t xml:space="preserve">Welcome to the page of the Bulgarian  Ministry of Foreign Affairs on Facebook!
</t>
  </si>
  <si>
    <t>The Bulgarian MFA’s Facebook page provides information about Bulgaria, foreign policy and cultural events as well as consular information to Bulgarians and friends of Bulgaria around the world. We are happy to answer any questions!
Фейсбук страницата на Министерството на външните работи на Република България предоставя информация за външната политика на страната, както и консулска информация за българи и приятели на България по целия свят. Ние сме щастливи да отговорим на всички въпроси!</t>
  </si>
  <si>
    <t>+359 2 948 2999</t>
  </si>
  <si>
    <t>https://facebook.com/MFAEgypt</t>
  </si>
  <si>
    <t>http://www.mfa.gov.eg      ,    https://twitter.com/MfaEgypt</t>
  </si>
  <si>
    <t>https://facebook.com/MFAEgyptEnglish</t>
  </si>
  <si>
    <t>https://facebook.com/MFAEthiopia</t>
  </si>
  <si>
    <t>23 August 2005</t>
  </si>
  <si>
    <t>To carry out active diplomacy, founded on sound research and institutional reform, building excellence into every process of the organization, individually and departmentally; 
to strengthen Ethiopia’s foreign relations with all nations on the basis of the core principles of mutual respect, mutual benefit, reciprocal trust and common interest; 
to work to permanently remove all security threats in the Horn of Africa; 
to encourage the achievement of Ethiopia’s development objectives and create favorable conditions for sustained and sustainable economic growth and social progress;
to restore the image of Ethiopia to its rightful place in the world; 
to ensure the engagement of the Diaspora for their own and for the country’s benefit as symbolized in the building of the Great Ethiopian Renaissance Dam; 
and to work for peace, security, development and democracy throughout Africa.</t>
  </si>
  <si>
    <t>+251 11 551 7345</t>
  </si>
  <si>
    <t>https://facebook.com/mfageorgia</t>
  </si>
  <si>
    <t>https://facebook.com/mfaic.gov.kh</t>
  </si>
  <si>
    <t>E-Visa Make Your Trip Happen To The Kingdom Of Wonder!
The Ministry of Foreign Affairs and International Cooperation has launched e-Visa, which enables you to apply for a Cambodia tourist visa online. Instead of applying through Cambodian Embassy, all you need to do is to complete the online application form and pay with your credit card. After receiving your Visa through email, print it out and bring it along when you travel to Cambodia.
http://evisa.mfaic.gov.kh/
Useful Website
http://www.asean.org/
http://www.aseansec.org/</t>
  </si>
  <si>
    <t>https://facebook.com/MFAIceland</t>
  </si>
  <si>
    <t>This is the official Facebook page of the Icelandic Ministry for Foreign Affairs. We welcome all discussions but kindly ask that they remain polite. We do reserve the right to remove posts that are demeaning, rude or otherwise inappropriate. 
Facebook's user guidelines apply as well (see  www.facebook.com/terms.php?ref=pf)</t>
  </si>
  <si>
    <t>+354 545 9900</t>
  </si>
  <si>
    <t>https://facebook.com/mfamongoliaENG</t>
  </si>
  <si>
    <t xml:space="preserve">Welcome to the Ministry of Foreign Affairs of Mongolia's Facebook page. For further information, please visit http://www.mfa.gov.mn/ </t>
  </si>
  <si>
    <t>https://facebook.com/mfamongoliaMN</t>
  </si>
  <si>
    <t xml:space="preserve">Албан ёсны цахим хуудас www.mfa.gov.mn
Twitter хуудас https://twitter.com/MongolDiplomacy http://www.youtube.com/channel/UC69-xK-rps6QT5xoJpCc1Pg/videos?view=1
Хилийн чанадад буй иргэдийн иргэний бүртгэл, нотариатын үйлчилгээ, дипломат, албан паспорт, визний нөхцөл, цахим урилга болон консулын асуудлыг дараах хаягаар орж харна уу. www.Consuls.net </t>
  </si>
  <si>
    <t>https://facebook.com/MIDRussia</t>
  </si>
  <si>
    <t>Важная и интересная информация по актуальным вопросам
внешней политики России и международных отношений.
Фото- и видеоматериалы о деятельности Министерства
в России и за рубежом
Просим соблюдать Правила поведения на странице МИД РФ в Facebook http://on.fb.me/1ai9r3u</t>
  </si>
  <si>
    <t>https://facebook.com/minex.guatemala.9</t>
  </si>
  <si>
    <t>A partir del siglo XIX inmediatamente después de la independencia se fue organizando paulatinamente la administración pública. Primero el Estado de Guatemala como parte integrante de las provincias unidas de Centro América y después a partir de 1847 como República independiente, libre y soberana para la administración de los negocios público lo diferentes ramos de la administración, fueron organizados en Secretarías de acuerdo a la denominación española, esta terminología incluyó en nuestro caso a la Secretaría de Relaciones Exteriores que conservó esta denominación después de la Revolución de fecha 20 de octubre de 1944, como puede verse en la Ley del Organismo ejecutivo contenido en el Decreto No. 47 de la Junta Revolucionaria, y emitido en fecha 27 de diciembre de 1944.
No obstante el período de vigencia fue corto ya que al entrar en vigor la Constitución de la República de fecha 15 de marzo ese ordenamiento Constitucional ya no hablaba de Secretarías, sino de Ministerios de Estado por lo que el Congreso de la República tuvo que promulgar una ley del Organismo Ejecutivo, emitida en el Decreto No.93 del Congreso de la República, de fecha 25 de abril de 1945 en la que por primera vez se habla en la sección XVIII, Artículo 21, Ministerio de Relaciones Exteriores</t>
  </si>
  <si>
    <t xml:space="preserve">Misión
Es la dependencia del Estado a quien le corresponde, bajo la dirección del Presidente de la República, la formulación de las políticas y la aplicación del régimen jurídico relativo a las relaciones del Estado de Guatemala con otros Estados y personas o instancias jurídicas de derecho internacional, así como la representación diplomática del Estado; los asuntos diplomáticos y consulares; todo lo relacionado con la nacionalidad guatemalteca, la demarcación del territorio nacional y los tratados y convenios internacionales.
Valores y Principios
Los valores y principios son los cuales el personal diplomático, técnico y operativo trabajan son: 
-Respeto -Honestidad -Integridad -Dignidad -Responsabilidad -Mística de Trabajo -Trabajo en Equipo.
En el marco de esos valores se mantienen aquellos otros relacionados con los principios y valores establecidos para las relaciones internacionales:
-Respeto a la dignidad y valor de la persona. -Agregado al Derecho Internacional y Respeto a las obligaciones demandas de los tratados. -Fortalecimiento de la Paz universal y mantenimiento de la seguridad internacional. -Igualdad de derechos de hombres y mujeres y de las naciones grandes y pequeñas. -Autodeterminación de los pueblos. -No intervención en los asuntos internos de otros Estados soberanos. -Promoción del progreso económico y social. -Amistad, solidaridad y cooperación con todos los Estados que observan un patrón de conducta acorde con la Carta de la Organización de las Naciones Unidas (ONU) y fundamentalmente con los países centroamericanos. -Apego a la solución pacífica de las controversias.
Visión
Ser una entidad moderna y profesional que formula, gestiona y coordina la Política Exterior del Estado de Guatemala, que sustentada en valores y principios, en la normativa constitucional, leyes internas que le competen y apego al Derecho Internacional, ejerce liderazgo en la representación del estado de Guatemala en las relaciones internacionales bilaterales, regionales y multilaterales; y responde oportuna, eficaz y eficientemente a los intereses y necesidades de los guatemaltecos y a los del desarrollo nacional.
</t>
  </si>
  <si>
    <t>Objetivo Estratégico
Formular las políticas y la aplicación del régimen jurídico relativo a: las relaciones del Estado de Guatemala con otros Estados y personas e instituciones jurídicas de derecho internacional; de la representación diplomática del Estado; de los asuntos diplomáticos, consulares y de atención al migrante; y de la demarcación y conservación del límite internacional del territorio nacional.
Objetivo Operativo 1
Brindar los servicios de asistencia, atención y protección consular y de apoyo humanitario a los guatemaltecos en el exterior y en Guatemala y de gestión y seguimiento de los diálogos y negociaciones internacionales sobre la migración, trata de personas y derechos de los migrantes.
Ojetivo Operativo 2
Gestionar la política exterior bilateral, regional y multilateral del Estado de Guatemala, en el ejercicio de la representación del Gobierno y del Estado de Guatemala, en un marco de amistad y solidaridad, ampliando las alianzas  estratégicas y manteniendo una participación proactiva y autónoma en organismos y foros internacionales de los cuales Guatemala es parte.
Objetivo Operativo 3
Mantener la demarcación de los límites terrestres, fluviales y lacustres internacionales del territorio sobre el cual es Estado de Guatemala ejerce plena soberanía y dominio. 
El Ministerio de Relaciones Exteriores es la dependencia del Organismo Ejecutivo, bajo la dirección del Presidente de la República, a quien, según la Ley del Organismo Ejecutivo, corresponde “la formulación de las políticas y la aplicación del régimen jurídico relativo a las relaciones del Estado de Guatemala con otros Estados y personas o instituciones jurídicas de derecho internacional”.
Por ser la representación diplomática del Estado, el Ministerio de Relaciones Exteriores otorga la nacionalidad guatemalteca, vela por el cumplimiento de la Ley de Migración, demarca y preserva los límites del territorio nacional, negocia y resguarda los tratados y convenios internaciones, defiende los intereses del país, formula políticas y acuerdos de integración o cooperación, entre otras muchas funciones.
Para el adecuado desempeño de estas funciones, el Ministerio de Relaciones Exteriores cuenta con representaciones alrededor del mundo a través de sus Embajadas, Consulados, Consulados Honorarios y Representaciones Permanentes ante Organismos Internacionales. En Guatemala tiene una sede central en la Ciudad Capital, así como una Delegación Departamental en Huehuetenango, Quetzaltenango y Jutiapa.</t>
  </si>
  <si>
    <t>https://facebook.com/mingobierno</t>
  </si>
  <si>
    <t>Rôle et attributions :
Le Ministère des Affaires Etrangères est chargé de :
Elaborer et mettre en oeuvre la politique étrangère du Gouvernement conformément aux orientations et aux options définies par le Chef de I'Etat.
Maintenir et développer les rapports d'amitié et de coopération avec les Etats étrangers et les institutions et organisations internationales.
. Assurer la représentation de la République tunisienne auprès des Etats étrangers et des Institutions et Organisations Internationales.
Protéger, défendre, sauvegarder, à I'étranger, les droits et intérêts matériels et moraux de la Tunisie ainsi que de ses ressortissants.
II est I'intermédiaire officiel entre les missions étrangères, les institutions et organisations internationales établies en Tunisie dune part et les départements ministériels et les organismes tunisiens d'autres part.
. Préparer et conduire, en collaboration avec les départements ministériels intéresses, la négociation et la conclusion des Traites, Convention et Accords internationaux. II en propose la ratification et la publication, en assure en cas de besoin ('interprétation et veille à leur bonne exécution</t>
  </si>
  <si>
    <t>https://facebook.com/Ministarstvo-vanjskih-i-europskih-poslova-506453726037312</t>
  </si>
  <si>
    <t xml:space="preserve">Ministarstvo vanjskih i europskih poslova (MVEP) nadležno je tijelo državne uprave za provedbu utvrđene vanjske politike Republike Hrvatske, koju provodi neposredno, odnosno putem diplomatskih i drugih predstavništava RH u inozemstvu. MVEP, na zahtjev predsjednika Republike, Sabora i Vlade RH, ministarstava, državnih upravnih organizacija ili na vlastiti poticaj, daje mišljenje o interesu Republike Hrvatske u području vanjske politike, kao i prijedloge djelovanja u istom području. </t>
  </si>
  <si>
    <t>Pravila moderiranja sadržaja na ovoj Facebook stranici:
Podržavamo slobodu mišljenja i želimo čuti ne samo pohvale nego i kritike na naš račun. Međutim, korištenje psovki i vrijeđanje nećemo tolerirati. 
Ne toleriramo diskriminacije na osnovi rase ili etničke pripadnosti ili boje kože, spola, jezika, vjere, političkog ili drugog uvjerenja, nacionalnog ili socijalnog podrijetla, imovnog stanja, članstva u sindikatu, obrazovanja, društvenog položaja, bračnog ili obiteljskog statusa, dobi, zdravstvenog stanja, invaliditeta, genetskog naslijeđa, rodnog identiteta, izražavanja ili spolne orijentacije. Vlada Republike Hrvatske ne odgovara za komentare korisnika koji krše ova pravila, a koji zbog brojnosti ne mogu biti administrirani.
Osim toga, višekratno ponavljanje istih objava, komentara ili pitanja na našoj stranici (koji istovremeno zagušuju komentare ostalih) ćemo smatrati neželjenim porukama ('spam'). Ako nakon opomene korisnik ne odustane od takvog ponašanja, spamom ćemo ga i klasificirati te spriječiti daljnje objave određenog autora. Također, prijetnje članovima online tima nećemo tolerirati.
Također, na ovoj stranici nije dopušteno reklamiranje drugih Facebook stranica. Objave poveznica s internetskih portala ne smatramo pitanjem.
Sve objave koje se kose s gore navedenim bit će obrisane, a korisnici nakon upozorenja blokirani.</t>
  </si>
  <si>
    <t>+385/1/4597-704</t>
  </si>
  <si>
    <t>https://facebook.com/Ministère-des-Affaires-Etrangères-et-des-Guinéens-de-lEtranger-898481620186007</t>
  </si>
  <si>
    <t>https://facebook.com/ministerio.exteriores.sv</t>
  </si>
  <si>
    <t>Ejercemos relaciones diplomáticas abiertas al mundo y  promovemos la protección de los derechos de la ciudadanía salvadoreña en el exterior.</t>
  </si>
  <si>
    <t xml:space="preserve">Compete al Ministerio de Relaciones Exteriores de El Salvador:
    Conducir las relaciones con los Gobiernos de otros países, organismos y personas jurídicas internacionales, así como formular y dirigir la política exterior de El Salvador;
    Gestionar, negociar, firmar y denunciar tratados, convenciones y acuerdos internacionales oyendo la opinión de la Secretaría interesada cuando fuere necesario;
    Organizar y dirigir el servicio exterior salvadoreño;
    Atender y canalizar las solicitudes y peticiones del Cuerpo Diplomático, Consular y de Organismos Internacionales acreditados en El Salvador, así como las de nuestro Gobierno a los países extranjeros, organismos internacionales y demás sujetos de derecho internacional;
    Organizar, institucionalizar y profesionalizar el Servicio Diplomático y Consular de Carrera, dándole el cumplimiento respectivo a lo que establece la Ley en la materia;
    Organizar y dirigir el Protocolo y Ceremonial Diplomático de la República, conforme a lo establecido por la Ley del Ceremonial Diplomático de la República de El Salvador; (37)
    Recomendar al Presidente de la República el establecimiento, suspensión o ruptura y restablecimiento de las relaciones diplomáticas y consulares con otros estados, así como proceder al reconocimiento de Estados y de Gobiernos;
    Determinar la apertura, cierre o traslado de las Misiones Diplomáticas y Consulares del país;
    Promover y defender en el exterior la buena imagen de la nación y del Gobierno, divulgando los aspectos relacionados con la vida política, económica, social y cultural;
    Dirigir los trabajos de demarcación del territorio nacional y realizar las negociaciones que sean pertinentes para la delimitación del mismo, velando siempre por el estricto respeto a la soberanía nacional;
    Expedir pasaportes y visas conforme a las leyes sobre la materia. Asimismo, ejecutar las acciones que le competan por ley, en materia diplomática, consular y migratoria;
    Nombrar y acreditar misiones oficiales a Congresos y eventos internacionales;
    Fomentar y participar en la organización de eventos culturales, científicos y de otra índole de interés para El Salvador;
    Autenticar los documentos conforme a la Ley y los convenios internacionales;
    Formular y dirigir la política, estrategia y los programas de desarrollo del comercio exterior en coordinación con el Ministerio de Economía y demás instituciones involucradas;
    Asistir y asesorar al Presidente de la República, Consejo de Ministros y demás entes del sector público, en materia de políticas, estrategias, planes, programas y proyectos;
    Armonizar las acciones gubernamentales con las del sector privado, bajo los principios, normas y decisiones de política exterior;
    Efectuar toda clase de estudios y rendir los informes que le encomiende el Presidente de la República relacionados con las atribuciones que le corresponden;
    Integrar con los ministerios de los diferentes ramos, instituciones oficiales autónomas y demás entidades públicas y privadas, las comisiones necesarias para el cumplimiento de sus objetivos y dictar los reglamentos de su operación;
    Definir conjuntamente con los Ministerios de Economía y de Hacienda, las políticas, estrategias y medidas de integración económica regionales;
    Auxiliar al Organo Judicial para hacer efectivas sus providencias, trámites y diligencias de cualquier clase de juicios o procedimientos judiciales en el extranjero, y prestar la colaboración necesaria para que las mismas providencias, trámites y diligencias puedan ser realizadas en el país, cuando provenga del exterior;
    Refrendar y comunicar los decretos, acuerdos órdenes y providencias del Presidente de la República, cuando se refieran a asuntos relativos a la Presidencia de la República, en defecto del Ministro de Gobernación;
    Proteger los intereses de los salvadoreños en el exterior y promover su desarrollo;
    Promover activamente la vinculación económica de los salvadoreños en el exterior, por medio de actividades orientadas a aumentar las relaciones económicas, comerciales, de inversión y de turismo;
    Promover y facilitar proyectos de desarrollo cultural, educativo y deportivo que busquen una mayor integración de las comunidades salvadoreñas en el exterior con El Salvador;
    Promover, facilitar y coordinar proyectos e iniciativas que fortalezcan el desarrollo de las organizaciones salvadoreñas en el exterior, especialmente en su relación con sus comunidades de origen en El Salvador;
    Defender y promover los derechos de los migrantes al exterior, tanto en los países de destino como de tránsito;
    Promover la búsqueda activa y permanente de esquemas migratorios que favorezcan a los salvadoreños en el exterior, especialmente de la población indocumentada en el exterior;
    Prestar servicios consulares modernos, eficientes, seguros y con una alta vocación de servicio a los salvadoreños en el exterior;
    Gestionar de manera proactiva Políticas Migratorias nacionales, regionales y multilaterales;
    Brindar asistencia jurídica para los salvadoreños en el exterior cuando ésta sea requerida;
    Formular los programas de asistencia técnica, así como gestionar, negociar, suscribir y administrar por medio de los instrumentos internacionales correspondientes, la distribución sectorial de la cooperación técnica, financiera no reembolsable o de bienes de gobiernos, organismos internacionales, entidades extranjeras y particulares otorguen al Estado, según la asignación que la Secretaría Técnica de la Presidencia establezca.
    Otorgar reconocimeintos a funcionarios que se encuentren desempeñando funciones en el Servicio Diplomático, o que las hubieren realizado con anterioridad, por su destacada labor en el ámbito diplomático y de las relaciones internacionales. El Titular podrá nominar los reconociemintos a conferir a través de Acuerdo Ministerial, los cuales podrán estar constituidos por medallas o placas; y, (16) (23) (25) (34)
    Las demás atribuciones que se establezcan por Ley o Reglamentos. (34)
</t>
  </si>
  <si>
    <t xml:space="preserve">Ejercemos relaciones diplomáticas abiertas al mundo, promotoras del desarrollo y la cooperación; así como relaciones consulares que promueven la protección de los derechos de salvadoreños en el exterior. </t>
  </si>
  <si>
    <t xml:space="preserve">Para más información visita www.maec.es
Para consultas consulares visita http://www.exteriores.gob.es/Portal/es/ServiciosAlCiudadano/Paginas/inicio.aspx
</t>
  </si>
  <si>
    <t>Bienvenido a la página oficial de Facebook del Ministerio de Asuntos Exteriores y Cooperación. 
Para cumplir las anteriores funciones, el Ministro de Asuntos Exteriores y de Cooperación cuenta con el apoyo de tres Secretarios de Estado, un Subsecretario, la Agencia Española de Cooperación Internacional para el Desarrollo (AECID) y el Instituto Cervantes. A lo anterior se suma la Red de Casas, constituida por las Casas de América, África, Asia, Árabe, Sefarad-Israel y Mediterráneo.
Plaza de la Provincia nº 1
28012 Madrid
España</t>
  </si>
  <si>
    <t xml:space="preserve">Para conocer nuestras normas de uso visita: http://www.exteriores.gob.es/Portal/es/SalaDePrensa/RedesSociales/Documents/NORMAS%20USO%20TWITTER%20Y%20FACEBOOK_2.pdf
La página oficial de Facebook del Ministerio de Asuntos Exteriores y Cooperación de España es moderada. Esto significa que los comentarios escritos por los usuarios serán revisados previamente antes de su publicación en el muro de la página. Para facilitar el correcto funcionamiento de la página, se ruega a los usuarios respeto en los usos, tanto entre ellos como con los empleados del ministerio. No se publicarán comentarios que contengan lenguaje vulgar o agresivo, ataques personales de cualquier tipo o términos ofensivos. Los mensajes publicitarios, spam y cualquier otro comentario que sea entendido como fuera de contenido (off topic) estarán también sujetos a posible revisión.
	Sólo los comentarios que se adapten a la política de usos serán publicados.
	El uso de contenido vulgar, ofensivo, amenazante o hiriente está totalmente prohibido.
	El contenido de las intervenciones de los usuarios deberá limitarse a los temas abordados en las publicaciones oficiales o en su caso tratarán asuntos referentes a la labor de este ministerio.
	No se admitirán comentarios con contenido político alguno o que promocionen ideas o creencias de ningún carácter.
	La utilización con finalidad comercial o publicitaria queda totalmente prohibida.
</t>
  </si>
  <si>
    <t xml:space="preserve">Corresponde al Ministerio de Asuntos Exteriores y de Cooperación, de conformidad con las directrices del Gobierno y en aplicación del principio de unidad de acción en el exterior, planificar, dirigir, ejecutar y evaluar la política exterior del Estado y la política de cooperación internacional para el desarrollo, con singular atención a las relacionadas con la Unión Europea y con Iberoamérica, así como coordinar y supervisar todas las actuaciones que en dichos ámbitos realicen, en ejecución de sus respectivas competencias, los restantes Departamentos y Administraciones Públicas.
Asimismo, le corresponde:
• Fomentar las relaciones económicas, culturales y científicas internacionales.
• Participar, en la esfera de actuación que le es propia, en la propuesta y aplicación de las políticas migratorias y de extranjería.
• Fomentar la cooperación transfronteriza e interterritorial.
• Proteger a los españoles en el exterior.
• Preparar, negociar y tramitar los Tratados Internacionales de los que España sea parte.
</t>
  </si>
  <si>
    <t>Central: 809.987.7001 / 535.6280
Avenida Independencia No.752 Estancia San Gerónimo, Distrito Nacional, Capital de la República Dominicana.</t>
  </si>
  <si>
    <t>VISION
Consolidar el reconocimiento y respeto internacional, a través de un ejercicio diplomático de la democracia, la solidaridad y el dialogo para atender los desafíos del cambiante y competitivo contexto mundial, al interés y bienestar del país y de sus ciudadanos.
VALORES
Institucionalidad:
Nos apegamos a la Constitución y las Leyes, nuestra ley institucional, nuestro reglamento orgánico y las políticas y procedimientos vigentes.
Lealtad:
Guardamos fidelidad a los mejores intereses de la nación y a las directrices del Presidente de la República.
Transparencia:
Actuamos con integridad y honestidad y apegados a la claridad y la rendición de cuentas.
Fiabilidad:
Tenemos la capacidad de llevar a buen término los proyectos, tareas y misiones encomendadas.
Continuidad:
Valoramos los esfuerzos sistemáticos y el seguimiento de nuestros esfuerzos hasta ver nuestros objetivos plasmados en resultados.
Eficiencia:
Nos esforzamos por hacer más y mejor cada vez, con el mejor aprovechamiento de los recursos que disponemos.
Dialogo:
Utilizar el dialogo como instrumento principal del ejercicio diplomático.
Democracia:
Aplicar, defender y promover los valores y principios democráticos establecidos en la Constitución Dominicana y en el Derecho Internacional.
Profesionalidad:
Fortalecer la capacidad del recurso humano administrativo, diplomático y consular para dotar al país de un ejercicio diplomático coherente que le permita atender los desafíos y oportunidades que exige el mundo hoy.
Responsabilidad:
Cumplimiento eficiente de la misión y de los deberes conforme los mandatos y funciones encomendado.</t>
  </si>
  <si>
    <t xml:space="preserve">Ministerio de Relaciones Exteriores República de Costa Rica. </t>
  </si>
  <si>
    <t xml:space="preserve"> El Ministerio de Relaciones Exteriores de Costa Rica fue creado el 9 de abril de 1844, durante la primera administración de Don José María Alfaro Zamora, y su primer titular fue el Doctor Don José María Castro Madriz (1818-1892), quien posteriormente fue el primer Presidente de la República. El primer Vicecanciller, nombrado en 1852, fue el periodista francés Adolphe Marie (1816-1856). 
http://www.rree.go.cr/?sec=ministerio&amp;cat=acerca
</t>
  </si>
  <si>
    <t>https://facebook.com/ministerpresident</t>
  </si>
  <si>
    <t xml:space="preserve">Dit is de facebookpagina van de minister-president van Nederland. </t>
  </si>
  <si>
    <t xml:space="preserve">Op deze pagina doet de Rijksvoorlichtingsdienst (RVD) geregeld verslag van de activiteiten van de minister-president. Reacties zijn zeer welkom maar hou het wel fatsoenlijk en on topic. Reageer dus altijd met respect voor anderen. 
Voor het onder de aandacht brengen van vragen of opmerkingen aan de minister-president persoonlijk, dan kan voor een zorgvuldige en veilige afhandeling het beste een brief worden gestuurd. Contactgegevens zijn:
De Minister-president
Minister van Algemene Zaken
Postbus 20001
2500 EA Den Haag
De minister-president kan niet ingaan op persoonlijke omstandigheden, omdat hij geen directe verantwoordelijkheid heeft voor uitvoerende instellingen. Daarvoor is het best de betreffende instelling te benaderen. Rijksoverheid.nl heeft een overzicht met gegevens van gemeenten en landelijke overheidsorganisaties.
</t>
  </si>
  <si>
    <t>https://facebook.com/Ministry-of-Foreign-Affairs-Belize-511449525613301</t>
  </si>
  <si>
    <t>https://facebook.com/Ministry-of-Foreign-Affairs-Botswana-281137451918748</t>
  </si>
  <si>
    <t xml:space="preserve">Mofaic would like to take its services to the general public and stakeholders by sharing whats going on in the Ministry. We chose to use social networking site to reach our outer audience and to get to appreciate comments and ideas we may get from them. </t>
  </si>
  <si>
    <t>2 November 2011</t>
  </si>
  <si>
    <t xml:space="preserve">OUR VISION
Respected and influential player in world affairs.
VALUES
1.Intergrity:fairness,trustworthy,courtesy,honesty,
2.Discipline:punctuality,polite,prompt,obedient,order,self-control,authority
3.Professionalism:competence
4.Patriotism:loyalty
5.Botho:compassionate,courteous,selfless,respectful
6.Transparency
</t>
  </si>
  <si>
    <t>+267 3600700</t>
  </si>
  <si>
    <t>https://facebook.com/MinistryofForeignAffairsofI.R.Iran</t>
  </si>
  <si>
    <t>«نه شرقی ، نه غربی ، جمهوری اسلامی»
www.mfa.gov.ir</t>
  </si>
  <si>
    <t xml:space="preserve">Kosovo Foreign Affairs Ministry’s mission is to formulate and implement Kosovo’s foreign policy, protect Kosovo interests vis-à-vis other countries and international organizations. Its mission also is to represent Kosovo abroad, preserve and protect immunities and privileges of diplomatic missions , persons whom they belong to in accordance with international laws and conventions, develop and coordinate policies vis-à-vis other countries. Ministry of Foreign Affairs promotes and protects Kosovo’s national cultural and economical policies. </t>
  </si>
  <si>
    <t>https://facebook.com/Ministry-of-Foreign-Affairs-Republic-of-Liberia-371689359570483</t>
  </si>
  <si>
    <t xml:space="preserve">Dissemination of current, quality and in-depth  information on diplomatic issues is our top priority. </t>
  </si>
  <si>
    <t>https://facebook.com/mirocerar.SMC</t>
  </si>
  <si>
    <t xml:space="preserve">Prepričan sem, da zmoremo državljani/ke Slovenije skupaj ustvariti boljšo državo ter s sodelovanjem in odgovornostjo vrniti dostojanstvo človeku. </t>
  </si>
  <si>
    <t>Dr. Miro Cerar (roj. 1963) je bil v zadnjih treh letih trikrat imenovan za najuglednejšega slovenskega pravnega strokovnjaka, dvanajstkrat pa je bil izbran v skupino najvplivnejših slovenskih pravnikov.
Leta 2010 je prejel Zlato hruško za izvirno slovensko poučno knjigo Kako sem otrokom razložil demokracijo, nedavno pa mu je Študentski svet Univerze v Ljubljani podelil priznanje za najboljšega pedagoga na Pravni fakulteti.
Za diplomsko nalogo z naslovom »Pravno varstvo blagovnih znamk« je prejel nagrado »dr. Slavka Zoreta« od Društva za Združene narode za SR Slovenijo. Sodeloval je pri pisanju Ustave Republike Slovenije, bil predavatelj in mentor mnogim študentom, prepotoval veliko držav kot vabljeni ugledni slovenski pravnik, med drugim je bil tudi gostujoči Fullbrightov profesor na univerzi Golden Gate University v San Franciscu ter se študijsko izpopolnjeval tudi na univerzi University of California School of Law v Berkeleyju (ZDA). Kot priznan in ugleden pravnik je bil več kot dvajset let zunanji neodvisni pravni svetovalec za ustavna in druga vprašanja v Državnem zboru, občasno pa je svetoval tudi drugim državnim organom (Predsedniku Republike, Vladi, ministrstvom), odvetniškim pisarnam, različnim zavodom, zbornicam itd. Organizacijske in vodstvene sposobnosti je izkazal v različnih delovnih okoljih. 
Miro Cerar je redni profesor na Pravni fakulteti Univerze v Ljubljani, kjer predava teorijo in filozofijo prava, primerjalno pravo in etiko pravniških poklicev. V svojih poljudnih knjigah Pravnikov mozaik (2007), Pamet v krizi (2010) in Slovenci na popravnem izpitu (2013) esejistično razmišlja o etiki, politiki, pravu, šolstvu, duhovnosti ter o drugih aktualnih družbenih in humanističnih temah. S svojimi kolumnami in javnimi nastopi opozarja na pomembnost temeljnih vrednot v vsakdanjem življenju. Glasno opozarja na nepravilnosti in ponuja celostne odgovore. Njegovo delovanje teži k večji kulturi dialoga ter dvigu politične in pravne kulture.</t>
  </si>
  <si>
    <t>https://facebook.com/mofa.gov.ly</t>
  </si>
  <si>
    <t xml:space="preserve">صفحة تعنى بأخبار و قرارات وزارة الخارجية و التعاون الدولي الليبية وتناقش القضايا و المشاكل التي لها علاقة بالوزارة او احد البعتات الدبلوماسية الليبية بالخارج وايضا لتغطية اي مناشط تقوم داخل الوزارة </t>
  </si>
  <si>
    <t>https://facebook.com/Mofa.Japan</t>
  </si>
  <si>
    <t>運用方針は，以下ＵＲＬからご覧いただけます。
http://www.mofa.go.jp/mofaj/annai/sns/index.html</t>
  </si>
  <si>
    <t>https://facebook.com/Mofa.Japan.en</t>
  </si>
  <si>
    <t xml:space="preserve">Please kindly refer to the Social Media Moderation Policy of the Ministry of Foreign Affairs below.
http://www.mofa.go.jp/p_pd/ipr/page25e_000056.html
</t>
  </si>
  <si>
    <t>+81-3-3580-3311</t>
  </si>
  <si>
    <t>https://facebook.com/mofa.oman</t>
  </si>
  <si>
    <t>https://facebook.com/mofa.pna</t>
  </si>
  <si>
    <t>تتمثل رسالة الوزارة في المساهمة بالنهوض بقضية الشعب الفلسطيني، والنضال السياسي الجاد لإنجاز الحقوق والأهداف الوطنية الفلسطينية، وتحقيق السلام وفقا للشرعية الدولية، وحل الدولتين على أساس خط 1967.
ولخدمة كل ذلك القيام بأداء دبلوماسي متواصل والعمل في هذا المجال على إيجاد جيل من الدبلوماسيين القادرين على أداء الرسالة. وتتمثل أيضا في الإسهام الجاد لرفع المعاناة عن أبناء شعبنا، ولتوفير الدعم اللازم للتنمية الاقتصادية، ومساعدة المتضررين ولتوفير الخدمات اللازمة للاجئي فلسطين. وتتمثل أيضا في القيام بدورنا الطبيعي في المحيط العربي على أساس مركزية القضية الفلسطينية والتفاعل الديمقراطي الهادف إلى تحقيق وحدة الموقف وفاعليته، وتطوير الجامعة العربية ومؤسساتها. وكذلك أداء دورنا الطبيعي مع أصدقائنا وأعضاء الأسرة الدولية والإسهام في تدعيم السلم على المستوى الدولي والإقليمي، وفي دعم وتطوير الأمم المتحدة والحفاظ على دورها بما في ذلك تجاه قضية فلسطين، والعمل على تحقيق مزيد من دمقرطة العلاقات الدولية وتعميق التعاون في كافة المجالات بما في ذلك الاقتصادية والتجارية والثقافية في عالمنا الواحد</t>
  </si>
  <si>
    <t>وضع المواقف التفصيلية في إطار السياسة الخارجية المُحَدَّده إزاء أيٍّ من القضايا، ووضع الخطط، وتحديد الآليات والخطوات اللازمة لتنفيذها.
2.عرض المـوقف السياسي الفلسطينـي في مجـال الصراع الفلسـطيني- الإسرائيلي وشرحه وتوضيحه وترويجه للرأي العام العالمي وللمحافل السياسية والدبلوماسية، وإبراز الجهود الفلسطينية المبذولة، والمواقف الفلسطينية المُتَّخذة في إطار عملية السلام على مختلف مسارات التفاوض وأطره، من أجل تحقيق الأهداف الوطنية الفلسطينية والإقرار بالحقوق الوطنية والإنسانية للشعب الفلسطيني المكفولة بموجب القوانين والأعراف الدولية.
3.العمل على تعميق العلاقات الفلسطينية – العربية، والتوصل إلى موقف عربيٍّ مُوَحَّدٍ داعمٍ للموقف الفلسطيني، والإسهام الجدي في تعزيز العمل العربي المشترك، وتطوير مؤسسته الأولى “جامعة الدول العربية” وتعزيز دورها.
4.العمل على توطيد العلاقة الفلسطينية مع الدول الإسلامية ومنظمة المؤتمر الإسلامي، وكذلك مع دول حركة عدم الانحياز، والعمل على تعزيز دور هذه الحركة، وتوطيد العلاقة الثنائية مع جميع الدول الصديقة في جميع أنحاء العالم.
5.تعميق الاتصالات الثنائية، وعلاقات الصداقة والتعاون، مع دول أوروبا الغربية والشرقية ومع الدول المتقدمة، والدول الصاعدة.
6.تحسين العلاقة مع العدد الصغير من الدول التي لم تتخذ بعد، ولو جزئياً، موقفاً مؤيداً للقضية الوطنية الفلسطينية وللموقف السياسي الفلسطيني، والعمل على تطوير العلاقة مع هذه الدُّول بما يخدم المصالح الفلسطينية .
7.المساهمة في وضع الخطط الاستراتيجية وتحديد المواقف التفاوضية مع إسرائيل، وتنفيذها، وتوفير ما يلزم من دعم وخبرات قانونية وفنية لتسهيل عمل المفاوض الفلسطيني في هذا الإطار.
8.المحافظة على مواقف الأمم المتحدة ومنظماتها حول مختلف جوانب القضية الفلسطينية والعمل على تطوير هذه المواقف، والاستمرار في استصدار القرارات اللازمة في هذا المجال سواء من مجلس الأمن، أو من الجمعية العامة، أو من كليهما.
9.تمثيل فلسطين في جميع المنظمات والتجمعات التي تنتمي إليها، وفي جميع المؤتمرات واللقاءات الرسمية الدولية والإقليمية ذات الصلة، وذلك بالتنسيق مع الجهات الفلسطينية المعنية الأخرى، وبحسب ما هو ملائم.
10.المشاركة الفعالة في الأنشطة والفعاليات الدولية، وفي الجهود الدولية حول مختلف القضايا التي تهم العالم، وبلورة موقف فلسطيني ايجابي من هذه القضايا والعمل الدؤوب على الإعلاء من شأن القانون الدولي في جميع المجالات.
11.العمل على توسيع دائرة الاعتراف الدَّولي بدولة فلسطين، والسَّعي لتمكين فلسطين من العضوية الكاملة في هيئة الأمم المتحدة.</t>
  </si>
  <si>
    <t>https://facebook.com/MOFA.Uganda</t>
  </si>
  <si>
    <t>To promote and protect Uganda’s
national interest abroad.</t>
  </si>
  <si>
    <t xml:space="preserve">+256-414-345661 </t>
  </si>
  <si>
    <t>https://facebook.com/mofabdpage</t>
  </si>
  <si>
    <t>Bangladesh Foreign Ministry- পররাষ্ট্র মন্ত্রণালয়, বাংলাদেশ</t>
  </si>
  <si>
    <t>এটি পররাষ্ট্র মন্ত্রণালয়ের ফ্যানপেজ, কোন অফিশিয়াল পেজ নয়।।
=====================================
পররাষ্ট্র মন্ত্রণালয় বাংলাদেশের পররাষ্ট্র নীতি বাস্তবায়ন এবং আন্তর্জাতিক যোগাযোগের জন্য গঠিত বাংলাদেশ সরকারের একটি মন্ত্রণালয়। বহির্বিশ্বে একটি সার্বভৌম রাষ্ট্রসত্ত্বার যে-প্রকাশ ও ভাবমূর্তি, তার মূল ভিত্তিপ্রস্তর হলো রাষ্ট্রের পররাষ্ট্রনীতি। একটি পরিকল্পিত কাঠামোর মধ্য দিয়ে দেশের পররাষ্ট্রনীতি বাস্তবায়ন করা হয়। এ নীতির আলোকে পরিচালিত সকল কূটনৈতিক কার্যক্রম পররাষ্ট্র মন্ত্রণালয় এবং বহির্বিশ্বে অবস্থিত কূটনৈতিক প্রতিষ্ঠানসমূহের (দূতাবাস/মিশন) ওপর ন্যস্ত। পররাষ্ট্র মন্ত্রণালয় বিবিধ কূটনৈতিক কর্মকাণ্ডের মাধ্যমে বহির্বিশ্বের ঘটনাপ্রবাহ এবং এর পশ্চাতে ক্রিয়াশীল নিয়ামক শক্তিকে প্রভাবিত ক’রে থাকে। এই সব কর্মকাণ্ডের অন্তর্ভুক্ত রয়েছে বৈদেশিক পরিমণ্ডলে বাংলাদেশের স্বার্থ সংরক্ষণ ও সম্প্রসারণ, দ্বিপক্ষীয় সম্পর্কের উন্নয়ন, আঞ্চলিক সহযোগিতা নিবিড়করণ এবং সর্বোপরি, জাতিসংঘসহ বিভিন্ন আন্তর্জাতিক সংস্থার কর্মকাণ্ডে সক্রিয় অংশগ্রহণের মাধ্যমে বিশ্বসভায় একটি দায়িত্বশীল রাষ্ট্র হিসেবে বাংলাদেশের ভাবমূর্তি সংহত ও সুদৃঢ়করণ।
পররাষ্ট্র নীতি
========
বাংলাদেশের জন্মলগ্নে ১৯৭১ খ্রিস্টাব্দের ২০ এপ্রিল প্রণীত স্বাধীনতার ঘোষণাপত্রে সুস্পষ্টভাবে জাতিসংঘ সনদের প্রতি বিশ্বস্ততা এবং বিশ্বসম্প্রদায়ভুক্ত একটি জাতি হিসেবে সকল দায়দায়িত্ব পালনের অঙ্গীকার ব্যক্ত করা হয়েছে।[১] পরবর্তীকালে বাংলাদেশের সংবিধানে পররাষ্ট্রনীতির মূলনীতিসমূহ সন্নিবেশিত হয়। সংবিধানের প্রস্তাবনায় “মানবজাতির প্রগতিশীল আশা-আকাংখার সহিত সঙ্গতি রক্ষা করিয়া আন্তর্জাতিক শান্তি ও সহযোগিতার ক্ষেত্রে পূর্ণ ভূমিকা পালন” করার অভিপ্রায় ব্যক্ত করা হয়েছে। এরই অনুসৃতিতে সংবিধানে বাংলাদেশের পররাষ্ট্রনীতির অভিমুখ নির্ধারণ করে ৪টি মূল স্তম্ভ উল্লেখ করা হয়েছেঃ (ক) জাতীয় সমতা ও সার্বভৌমত্বের প্রতি শ্রদ্ধা, বিরোধের শান্তিপূর্ণ সমাধান এবং অন্য রাষ্ট্রের অভ্যন্তরীণ বিষয়ে হস্তক্ষেপ না করা ; (খ) শক্তি প্রয়োগ পরিহার এবং সাধারণ ও সম্পূর্ণ নিরস্ত্রীকরণ প্রয়াস ; (গ) নিজস্ব আর্থ-সামাজিক ও রাজনৈতিক ব্যবস্থা নির্ধারণ ও গঠনে প্রত্যেক জাতির অধিকারের স্বীকৃতি এবং বিশ্বের সর্বত্র নিপীড়িত জনগণের ন্যায়সঙ্গত সংগ্রামের সমর্থন।
পররাষ্ট্রনীতির উল্লেখযোগ্য বিষয়সমূহ
=======================
১.প্রতিবেশী রাষ্ট্রসহ বিদেশের সাথে ভারসাম্যমূলক ও বন্ধুত্বপূর্ণ সম্পর্ক ;
২.বৈদেশিক বিনিয়োগ আকর্ষণ ;
৩.বিশ্ববাজারে বাংলাদেশী পণ্য ও কৃত্যের শুল্কমুক্ত ও কোটামুক্ত প্রবেশাধিকার নিশ্চিতকরণ ও সংরক্ষণ ;
৪.বিদেশে বাংলাদেশীদের কর্মসংস্থানের সুযোগ সংরক্ষণ ও সম্প্রসারণ এবং নতুন শ্রমবাজার সন্ধান ;
৫.প্রবাসী বাংলাদেশীদের স্বার্থ সংরক্ষণ ;
৬.জাতিসংঘ ব্যবস্থায় সক্রিয় অংশগ্রহণ, আঞ্চলিক সহযোগিতা প্রসার এবং ক্রমবিকাশমান বৈশ্বিক প্রেক্ষাপটে আন্তর্জাতিক রীতিনীতি প্রণয়নে সক্রিয় অংশগ্রহণ ;
৭.বহুপাক্ষিক প্রতিষ্ঠান এবং বিভিন্ন রাষ্ট্রের সঙ্গে অর্থনৈতিক সহযোগিতা জোরদারকরণ ;
৮.বিশ্বব্যাপী শান্তিরক্ষা ও শান্তিপ্রতিষ্ঠা কার্যক্রমে অংশগ্রহণ ;
৯.বিদেশে বাংলাদেশের সংস্কৃতির যথাযথ প্রদর্শনীর মাধ্যমে দেশের ভাবমূর্তি উন্নয়ন ;
১০.পর্যটন শিল্পের বিকাশে যথোপযুক্ত পদক্ষেপ গ্রহণ।।
পররাষ্ট্র মন্ত্রণালয়ের দায়িত্বসমূহ
===================
(ক) রাষ্ট্রের প্রতিনিধিত্বঃ সার্বভৌম রাষ্ট্র হিসাবে কূটনৈতিক সম্পর্ক ও প্রতিনিধিত্বমূলক কার্যক্রম, বিশ্বের সকল দেশের সঙ্গে সম্পর্ক ও সকল প্রকার যোগাযোগ পররাষ্ট্র মন্ত্রণালয় ও বিদেশস্থ বাংলাদেশ মিশনসমূহের মাধ্যমে পরিচালিত হয়। বাংলাদেশ দূতাবাসের কর্মকা-, কূটনৈতিক পদ প্রদান সহ দূতাবাসের কাঠামো, জনবল, সংস্থাপনা ইত্যাদি বিষয়াদি এ মন্ত্রণালয়ের কার্যবিধির অন্তর্ভুক্ত। অন্যদিকে বাংলাদেশে বিদেশস্থ কূটনৈতিক, কনস্যুলার ও বাণিজ্য মিশন স্থাপন এবং কূটনৈতিক স্বার্থ সংরক্ষণকল্পে তাদের দায়মুক্তি-সংক্রান্ত নীতিমালা প্রণয়ন ও প্রক্রিয়াজাতকরণের দায়িত্বও এ মন্ত্রণালয়ের ওপর ন্যস্ত।
(খ) আন্তর্জাতিক সংস্থা, চুক্তি ইত্যাদিঃ জাতিসংঘসহ বিভিন্ন আন্তর্জাতিক সংস্থা এবং এর সিদ্ধান্তবলী সংক্রান্ত যাবতীয় কার্যক্রম এ মন্ত্রণালয়ের এখতিয়ারভুক্ত। পররাষ্ট্র মন্ত্রণালয় অন্যান্য রাষ্ট্র ও আন্তর্জাাতিক সংস্থার সাথে সম্পাদিত চুক্তিসমূহ পরিপালন, সমন্বয়সাধন, বাস্তবায়ন ও সংরক্ষণের দায়িত্ব পালন করে থাকে।
(গ) প্রশাসনিক বিষয়াদিঃ বাংলাদেশ সিভিল সার্ভিসের (বি. সি. এস.) পররাষ্ট্র বিষয়ক ক্যাডারের কর্মকর্তাদের প্রশিক্ষণ ও সংশ্লিষ্ট প্রশাসনিক কার্যাদি সম্পাদন, কূটনৈতিক দায়িত্বপ্রাপ্ত কর্মকর্তাদের বিশেষ প্রশিক্ষণ প্রদান, সাংকেতিক বার্তা সঞ্চালন ও এর নিরাপত্তা নিশ্চিতকরণ ইত্যাদি পররাষ্ট্র মন্ত্রণালয়ের ওপর ন্যস্ত। তদুপরি, ইওওঝঝ সংক্রান্ত প্রশাসনিক দায়িত্ব এবং আর্থিক বিষয়সহ যাবতীয় সাচিবিক দায়িত্ব এই মন্ত্রণালয়ের ওপর ন্যস্ত করা হয়েছে।
(ঘ) আন্তর্জাতিক আইন-সংশ্লিষ্ট কার্যাদিঃ এই কার্যসমষ্টির আওতায় প্রধান প্রধান দায়িত্ব হলো : আন্তর্জাতিক আইনের বিরুদ্ধে সংগঠিত অপরাধ, বিদেশ থেকে বাংলাদেশী নাগরিক প্রত্যাবাসন বিষয়ক নীতিমালা, জলদস্যুতাসহ গভীর সমুদ্রে অথবা আকাশ পথে সংঘটিত অপরাধ, অন্যান্য দেশের সাথে শান্তি প্রতিষ্ঠা, বিদেশী শরণার্থীদের পরিপোষণ, বিদেশী সামরিক বা বেসামরিক অনির্ধারিত বিমান চলাচলের ছাড়পত্র প্রদান, জলসীমা ও মহীসোপানসহ দেশের সীমা নির্ধারণ, সমুদ্রে সম্পদ আহরণের আইন ও অধিকার সংশ্লিষ্ট কার্যাবলী, আন্তর্জাতিক আইনের অন্যান্য বিষয়সমূহ, কোন বাংলাদেশী নাগরিক বিদেশে সম্মান, খেতাব বা উপাধিতে ভূষিত হলে তদসংশ্লিষ্ট আনুষ্ঠানিকতা ইত্যাদি।
(ঙ) প্রচারণা ও ভাবমূর্তিঃ বর্হিবিশ্বে বাংলাদেশের ভাবমূর্তি উন্নয়নের জন্য প্রচারণামূলক কার্যক্রম গ্রহণ পররাষ্ট্র মন্ত্রণালয়ের একটি গুরুত্বপূর্ণ দায়িত্ব। এরই অংশ হিসেবে মন্ত্রণালয় তথ্য মন্ত্রণালয়ের সাথে পরামর্শক্রমে বিদেশী সংবাদমাধ্যমে বাংলাদেশ সংক্রান্ত ইতিবাচক প্রচারণার লক্ষ্যে প্রয়োজনীয় কর্মসূচী গ্রহণ ক’রে থাকে। এছাড়া শিক্ষা ও সাংস্কৃতিক আদান-প্রদানের লক্ষ্যে সাংস্কৃতিক পরিষদের মাধ্যমে যথোপযুক্ত কর্মসূচী পরিচালনা করে।
(চ) রাষ্ট্রাচারঃ বিদেশের সাথে রাষ্ট্রীয় পর্যায়ের আতিথ্যমূলক সকল কর্মকা- এর অন্তর্ভুক্ত। বিদেশী অভ্যাগতরা আনুষ্ঠানিক তথা প্রতিনিধিত্বমূলক কোন সফরে বাংলাদেশে এলে এর আয়োজন, অভ্যর্থনা ও আতিথ্য প্রদান এবং আনুষঙ্গিক সহায়তার দায়িত্ব পররাষ্ট্র মন্ত্রণালয় পালন ক’রে থাকে। একইভাবে, রাষ্ট্রপ্রধান ও সরকার প্রধানের বৈদেশিক ভ্রমণ সংক্রান্ত সকল যোগাযোগ ও আয়োজন, উচ্চপর্যায়ের সকল সাক্ষাৎকার ইত্যাদি রাষ্ট্রাচারের কর্মপরিধিভুক্ত। সমরূপ অন্যান্য কার্যাদির মধ্যে রয়েছে বিদেশ থেকে প্রেরিত রাষ্ট্রদূত ও হাইকমিশনারদের পরিচয় পত্র উপস্থাপনের আনুষ্ঠানিকতা ও মহামান্য রাষ্ট্রপতি ও মাননীয় প্রধানমন্ত্রীর সাথে তাঁদের সাক্ষাৎ ইত্যাদি আয়োজন।
(ছ) কনস্যুলার ও কল্যাণমূলক সেবাঃ পররাষ্ট্র মন্ত্রণালয়ের কনস্যুলার ও কল্যাণ অনুবিভাগ বিদেশে অবস্থিত বাংলাদেশের দূতাবাসসমূহ এবং বাংলাদেশী নাগরিকদের বহুমুখী কনস্যুলার সেবা প্রদান ক’রে থাকে। বিদেশে অবস্থানকালে কোন ব্যক্তির যদি কোন প্রকার কনস্যুলার সেবার প্রয়োজন হয়, তাহলে তিনি নিকটস্থ বাংলাদেশ দূতাবাসের সাথে যোগাযোগ ক’রে কিংবা দেশে তাঁর নিকটজন তাঁর পক্ষে পররাষ্ট্র মন্ত্রণালয়ের কনস্যুলার ও কল্যাণ অনুবিভাগের সাথে যোগাযোগপূর্বক কনস্যুলার সেবা গ্রহণ করতে পারেন।
কনস্যুলার ও কল্যাণ অনুবিভাগ নিম্নোক্ত সেবাসমূহ প্রদান করেঃ (১) দূতাবাসের মাধ্যমে বিদেশে অবস্থানরত প্রবাসী বাংলাদেশীদের নানাবিধ কল্যাণমূলক কাজের সমন্বয় ; (২) বিদেশে অবস্থানরত বাংলাদেশীদের জরুরি কনস্যুলার সহায়তাসহ অন্যান্য সেবা প্রদান ; (৩) বিধি মোতাবেক বিভিন্ন দলিল-দস্তাবেজের সীল ও স্বাক্ষরসমূহের প্রত্যয়ন।
পররাষ্ট্র মন্ত্রণালয়ের কনস্যুলার ও কল্যাণ অনুবিভাগ কর্তৃক এই সকল সেবা সম্পূর্ণ বিনামূলে প্রদান করা হয়। (উইকিপিডিয়া হতে সংগ্রহীত)</t>
  </si>
  <si>
    <t>https://facebook.com/mofairlesotho</t>
  </si>
  <si>
    <t xml:space="preserve">The Ministry of Foreign Affairs and International Relations plays a pivotal role in the conduct of relations between Lesotho and other friendly states. </t>
  </si>
  <si>
    <t>https://facebook.com/mofakr.eng</t>
  </si>
  <si>
    <t>https://facebook.com/mofakr.kr</t>
  </si>
  <si>
    <t xml:space="preserve">www.mofa.go.kr </t>
  </si>
  <si>
    <t>-블로그 '모파랑' : http://blog.naver.com/mofakr                    
-트위터 : www.twitter.com/mofa_kr 
- English Twitter : www.twitter.com/mofakr_eng 
-유튜브 : www.youtube.com/mofakorea 
-해외안전여행 : www.0404.go.kr 
-국제기구인사센터 : http://unrecruit.mofa.go.kr/</t>
  </si>
  <si>
    <t>https://facebook.com/MOFAKuwait</t>
  </si>
  <si>
    <t>+965 22225555</t>
  </si>
  <si>
    <t>https://facebook.com/MOFANEPAL</t>
  </si>
  <si>
    <t xml:space="preserve">Official Facebook Page - Ministry of Foreign Affairs,Nepal
 www.mofa.gov.np
</t>
  </si>
  <si>
    <t>+97714200182-85</t>
  </si>
  <si>
    <t>https://facebook.com/MoFA-of-Indonesia-134183339948571</t>
  </si>
  <si>
    <t>the official Facebook Page of the Ministry of Foreign Affairs of Indonesia
For Bahasa Indonesia Version visit our links</t>
  </si>
  <si>
    <t xml:space="preserve">    (+62 21) 344 15 08</t>
  </si>
  <si>
    <t>https://facebook.com/Mofauae</t>
  </si>
  <si>
    <t>https://facebook.com/MOTPGuyana</t>
  </si>
  <si>
    <t xml:space="preserve">Premier Ministre de Belgique
Eerste Minister van België 
Premierminister von Belgien </t>
  </si>
  <si>
    <t>https://facebook.com/mreparaguay</t>
  </si>
  <si>
    <t>https://facebook.com/MuhammaduBuhari</t>
  </si>
  <si>
    <t>https://facebook.com/myanmarpresidentoffice.gov.mm</t>
  </si>
  <si>
    <t>https://facebook.com/myuhurukenyatta</t>
  </si>
  <si>
    <t>https://facebook.com/mzv.sk</t>
  </si>
  <si>
    <t xml:space="preserve">Oficiálna stránka Ministerstva zahraničných vecí a európskych záležitostí SR, ktorú spravuje tlačový odbor rezortu. </t>
  </si>
  <si>
    <t>https://facebook.com/mzvcr</t>
  </si>
  <si>
    <t xml:space="preserve">Ministerstvo zahraničních věcí zabezpečuje vztahy České republiky k ostatním státům, mezinárodním organizacím a integračním seskupením, koordinuje aktivity vyplývající z dvoustranné a mnohostranné spolupráce, s výjimkou věcí náležejících do působnosti Ministerstva spravedlnosti. </t>
  </si>
  <si>
    <t xml:space="preserve">Ministerstvo zahraničních věcí zejména:
1. koordinuje činnost ministerstev a jiných ústředních orgánů státní správy v oblasti zahraničních vztahů a jim svěřených úsecích státní správy, působí k tomu, aby na těchto úsecích byly dodržovány závazky vyplývající pro Českou republiku z mezinárodních smluv, jakož i z členství České republiky v mezinárodních organizacích,
2. zajišťuje ochranu práv a zájmů České republiky a jejích občanů v zahraničí,
3. řídí zastupitelské úřady v zahraničí,
4. plní úkoly při zabezpečování styků s orgány cizích států v České republice a v zahraničí,
5. plní úkoly při správě majetku České republiky v zahraničí,
6. koordinuje a zabezpečuje přípravu, sjednávání a vnitrostátní projednávání mezinárodních smluv a dohod,
7. zabezpečuje vyhlašování mezinárodních smluv, jimiž je Česká republika vázána,
8. sleduje dodržování a provádění mezinárodních smluv a dohod z hlediska uplatňování zájmů zahraniční politiky České republiky,
9. uděluje souhlas v případech dovozu a vývozu vojenského materiálu,
10. zajišťuje přípravu pracovníků pro výkon zahraničních služeb,
11. organizačně a technicky zabezpečuje volby do Poslanecké sněmovny Parlamentu České republiky v zahraničí a plní úkoly při volbách do Evropského parlamentu.
</t>
  </si>
  <si>
    <t>+420 224 18 1111</t>
  </si>
  <si>
    <t>https://facebook.com/najibrazak</t>
  </si>
  <si>
    <t>https://facebook.com/narendramodi</t>
  </si>
  <si>
    <t xml:space="preserve">Prime Minister of India. </t>
  </si>
  <si>
    <t xml:space="preserve">Narendra Modi’s journey began in the town of Vadnagar in North Gujarat’s Mehsana district. Born on the 17th of September 1950, Narendra Modi is the 3rd among the 6 children of Hiraba and Damodardas Modi. Narendra Modi’s childhood was one of immense struggle and difficulty. As a youngster he helped his family run a tea-stall at the local railway station to make ends meet. 
Yet, these hardships did not deter Narendra Modi. He remained a devoted student, always eager to learn something new. From his younger days, Narendra Modi was drawn towards serving the society. It was this passion to serve that drew Narendra Modi to the Rashtriya Swayamsevak Sangh (RSS), a socio-cultural organisation devoted to the development and regeneration of India in 1972. Being in the RSS meant Narendra Modi had to travel all over India, giving him a first hand experience of India’s diversity, people’s joys and their problems. In the RSS, Narendra Modi made a distinguished mark due to his organisational skills. 
As a youngster, Narendra Modi participated in the Navnirman Movement in 1974-75, which was a strong anti-corruption movement inspired by Loknayak Jayprakash Narayan. He was jailed during the Emergency imposed in India in 1975. 
However, it was not until 1987 that Narendra Modi’s first brush with politics occurred. In 1987 he was asked to work for the Bharatiya Janata Party (BJP) and became the General Secretary of the Gujarat Unit. In the next few years he was entrusted with the responsibility of organising the Ayodhya Rath Yatra and the Ekta Yatra from Kanyakumari to Kashmir. His organisational work in the 1990 Gujarat Assembly Elections reaped fruits when the BJP’s tally shot up from 11 in 1985 to 67. The increase in the voteshare was also significant. In 1995, the BJP formed the government in Gujarat, winning a record 121 seats. 
In recognition of his outstanding contribution towards the Party Organisation, Narendra Modi was made National Secretary of the BJP and given charge of 5 crucial states in North India. Under his guidance, the BJP and its allies improved their performance and even formed governments in these states. In 1998, the year BJP formed the Central Government under Shri Atal Bihari Vajpayee, Shri Modi was made National General Secretary (Organisation), a very important responsibility in the party.  
A fresh chapter was written in Shri Modi’s life when he was asked by the Party to return to Gujarat and serve as the Chief Minister of the state. The state was reeling under the effects of a severe quake and a year before that there was a cyclone. It was under these trying circumstances that Narendra Modi was sworn-in as the Chief Minister of Gujarat on 7th October 2001. 
Narendra Modi did not waste a single minute and got down to work, bringing the state back on its feet. He ushered in a paradigm shift in the development journey of Gujarat. With the Mantra of ‘Sabka Saath, Sabka Vikas’, Shri Modi led Team Gujarat towards all-round and all-inclusive growth. The focus on the 5 Shaktis (powers), known popularly as Panchamrut- Gyan Shakti (Education), Jal Shakti (Water), Urja Shakti (Energy), Raksha Shakti (Security) and Jan Shakti (People) laid the foundation for good governance in Gujarat. Today, Gujarat’s development journey is built on the strong foundation of all 3 sectors of the economy, namely agriculture, industry and services. Every single person is an active participant in the state’s development journey. Gujarat’s development has won praise from both India and overseas. 
People of Gujarat have time and again reposed faith in BJP and Shri Modi as he led the party to record victories in 2002, 2007 and 2012 Assembly Elections. He is the longest serving CM of Gujarat. 
On 9th June 2013 Narendra Modi was made the Chief of the BJP’s Campaign Committee for 2014 Lok Sabha Elections and on 13th September 2013 Narendra Modi was declared as the NDA’s Prime Ministerial candidate. This announcement has been met with thumping applause from all over India as people look to the NDA and Narendra Modi to usher in a golden era of India’s progress, so that we can once again emerge as the leader of the world! 
More at http://www.narendramodi.in/pages/biography </t>
  </si>
  <si>
    <t>https://facebook.com/Netanyahu</t>
  </si>
  <si>
    <t>https://facebook.com/NicolasMaduro</t>
  </si>
  <si>
    <t>https://facebook.com/NicosAnastasiades</t>
  </si>
  <si>
    <t xml:space="preserve">Ο Νίκος Αναστασιάδης γεννήθηκε στο Πέρα Πεδί Λεμεσού το 1946. Σημαντικό ρόλο στη ζωή του είχαν και οι δύο γονείς του, αλλά ιδιαίτερη ήταν η παρουσία του πατέρα του.  Έχει ένα δίδυμο αδερφό και μία αδερφή. 
Το 1971 παντρεύτηκε την Κα Άντρη Μουστακούδη και απέκτησαν δύο κόρες, την Έλσα και την Ινώ. Έχει τέσσερα εγγονάκια, τον Άντυ, την Νίκολα, τον Γιώργο και τον Νίκο.
Σπούδασε Νομική στο Πανεπιστήμιο Αθηνών, και έκανε μεταπτυχιακές σπουδές στο Ναυτικό Δίκαιο στο University of London και ασκεί το  δικηγορικό επάγγελμα από το 1972.
Στα φοιτητικά του χρόνια υπήρξε ενεργό στέλεχος της Νεολαίας  της  Ένωσης Κέντρου του Γεώργιου Παπανδρέου στην Αθήνα.
Ο Νίκος Αναστασιάδης είναι Ιδρυτικό μέλος της  Νεολαίας του  Δημοκρατικού  Συναγερμού, την οποία και υπηρέτησε από τις θέσεις του Επαρχιακού Γραμματέα , Αντιπρόεδρου και Προέδρου.
Μετά από την  επιτυχημένη  του θητεία στη ΝΕΔΗΣΥ αναλαμβάνει  δράση πλάι στον ιστορικό ηγέτη  Γλαύκο Κληρίδη,  τόσο από τις θέσεις  του Α’ Αντιπροέδρου και αργότερα Αναπληρωτή Προέδρου  μέχρι το 1997 και είναι μέλος του Κυπριακού Εθνικού Συμβουλίου από το 1995.
Ο Νίκος Αναστασιάδης εκλέγεται πανηγυρικά στην Προεδρία του Δημοκρατικού Συναγερμού το 1997, θέση που σταθερά του εμπιστεύονται τα μέλη και τα στελέχη του κόμματος  με συνεχείς επανεκλογές το  1999, το 2003, το 2007 και το2012.
Ταυτόχρονα ο Νίκος Αναστασιάδης εκλέγεται Βουλευτής από το 1981 μέχρι σήμερα.  Κατά τη μακρόχρονη του θητεία υπηρέτησε το Κοινοβούλιο ως Πρόεδρος της Επιτροπής Εξωτερικών, Πρόεδρος της Επιτροπής Παιδείας , Πρόεδρος της Διακοινοβουλευτικής Επιτροπής Εξωτερικών μέχρι και το 2006, αλλά και ως Αντιπρόεδρος και Μέλος πολλών άλλων Επιτροπών.  Εκλέγηκε επίσης Αντιπρόεδρος της Βουλής των Αντιπροσώπων  για την πενταετία 1996-2001,  και, υπηρέτησε ως Κοινοβουλευτικός  Εκπρόσωπος του ΔΗΣΥ.
Στην πολιτική του πορεία ο Νίκος Αναστασιάδης συμμετέχει ενεργά  στη διεθνή πολιτική σκηνή.  Από τη θέση του ως Πρόεδρος της Επιτροπής Εξωτερικών, ως Αρχηγός της Διακοινοβουλευτικής Επιτροπής Εξωτερικών, αλλά και ως  Αρχηγός της Κυπριακής Αντιπροσωπείας  στη Διακοινοβουλευτική Ένωση (IPU), εκπροσωπεί  το Κυπριακό Κοινοβούλιο από το 1991 και λαμβάνει μέρος σε σωρεία διεθνών αποστολών , εξειδικευμένων συνεδρίων και επισκέψεων. 
Από την εκλογή του στη προεδρία του Δημοκρατικού Συναγερμού συμμετέχει σε όλες τις  Συνόδους Κορυφής  και Συνέδρια του Ευρωπαϊκού Λαϊκού Κόμματος(EPP), εκπροσωπεί τον ΔΗΣΥ  στην European Democrat Union(EDU), αλλά και ενεργά συμμετέχει σε όλα τα Συνέδρια της  International Democrat Union(IDU).
Η ανελλιπής παρουσία του και οι παρεμβάσεις του στις Συνόδους Κορυφής και στα Συνέδρια έχουν ενισχύσει τις θέσεις του Δημοκρατικού Συναγερμού στις εν λόγω πολιτικές ομάδες ενώ μέσα από τις διαπροσωπικές σχέσεις  που έχει αναπτύξει, έχει συμβάλει έτσι ώστε οι πολιτικές θέσεις των ομάδων αυτών να  ταυτιστούν πλήρως με τις θέσεις της Ελληνοκυπριακής πλευράς στο Εθνικό μας θέμα.
</t>
  </si>
  <si>
    <t>https://facebook.com/niinisto</t>
  </si>
  <si>
    <t xml:space="preserve">Tasavallan presidentti Sauli Niinistön virallinen Facebook-sivu. 
Presidentti allekirjoittaa omat viestinsä SN-puumerkillä. www.presidentti.fi
</t>
  </si>
  <si>
    <t>https://facebook.com/NyusiConfioemti</t>
  </si>
  <si>
    <t xml:space="preserve">Página Oficial de
Filipe Nyusi, Presidente da República de Moçambique.  </t>
  </si>
  <si>
    <t xml:space="preserve">Filipe Jacinto Nyusi, na primeira pessoa:
Filipe Jacinto Nyusi nasceu a 9 de Fevereiro de 1959, em Namau, distrito de Mueda, Província de Cabo Delgado. Tem quatro filhos e é casado com Isaura Gonçalo Ferrão, natural de Tete, província de Tete
Filipe Nyusi é um gestor, é um político, foi estudante e professor, é pai. 
A história da vida de Nyusi é a história de um homem com vontade de vencer e vontade de aprender. É filho de pais camponeses, Jacinto Nyusi Chimela e Angelina Daima, ambos já falecidos, e que muito o inspiraram no seu trajecto pessoal e profissional.
Nyusi tem uma grande experiência como gestor. Conhece o País porque a sua vida tem sido feita acumulando experiências. Nasceu, estudou e viveu nos mais diversos locais e passou por Universidades estrangeiras, na Europa e na Ásia. 
Em 1973 ingressou nas fileiras da Frente de Libertação de Moçambique, tendo feito a sua preparação político-militar em Nachinguea. Neste Centro pertenceu ao 3º Pelotão dos Pequenos, num grupo de 50 jovens onde a maioria apenas falava Nyungwe. Nyusi, em apenas uma semana, passou também a comunicar nesta língua. Ao longo da sua vida acabaria por ter contacto e desenvolver o conhecimento de outras línguas, como o português, o inglês ou o checo, para além do maconde, língua materna.
Em 1974 concluiu os estudos primários no centro educacional da FRELIMO, em Tunduro, Tanzania. E no ano seguinte assistiu a um dos mais marcantes episódios da sua vida: o içar da Bandeira na Cerimónia Solene de Proclamação da Independência Nacional, pelo Camarada Presidente Samora Machel.
Pouco depois matriculou-se na Escola Secundária da Frelimo, em Mariri. Terminou o Ensino Secundário na Cidade da Beira, na Escola Samora Machel, em 1982. De seguida obteve uma bolsa e frequentou o curso de Engenharia Mecânica pela academia Militar-VAAZ, de Brno na República Checa, tendo-lhe sido conferido o título de Mestre em Engenharia, em 1990. Antes tinha frequentado o 2ºano de Engenharia Eletrotécnica da Universidade Eduardo Mondlane, em Maputo. Frequentou mais cursos e estágios de curta duração das operações ferro-portuárias nos Estados Unidos da América, Suazilândia e República Sul Africana.
A sua vida académica prosseguiu e em 1999 foi para Inglaterra, onde obteve a pós-graduação em Gestão pela Universidade de Victoria, em Manchester.
A sua ambição pelo saber manteve-se. Quatro anos depois garantiu o certificado em Gestão pelo Indian Institute of Management, em Amadbad, Estado de Gujarat na Índia.
Profissionalmente, Filipe Nyusi trabalhou nos Caminhos de Ferro de Moçambique, em Nampula, entre 1992 e 2007, havendo sido assistente de chefe de serviço entre 1992 e 1993; director ferroviário de 1993 a 1995 e director executivo de 1995 a 2007. Foi transferido para Maputo, onde exerceu funções de Administrador executivo entre 2007 e 2008. 
Em 2004, enquanto dirigente do Clube Ferroviário de Nampula, ajudou a levar a equipa a vencer o Campeonato Nacional e a Taça de Moçambique em anos consecutivos.
Em 2008 Nyusi foi desafiado a prestar um serviço à Pátria: foi nomeado Ministro da Defesa Nacional, cargo que exerce até à data, foi no seu tempo que em complemento do Plano Quinquenal do Governo, a logística das FADM foi melhorada, infra-estruturas foram reabilitadas e processos de reequipamento dos três ramos foram retornados, aumentou-se o caudal da formação nas instituições de Ensino Militar; criou-se o Instituto Superior de Estudos da Defesa Tenente General Armando Emílio Guebuza, institucionalizou-se o Serviço Cívico de Moçambique que é complementar ao Serviço Militar; melhorou-se significativamente as áreas logísticas em geral. Conseguiu-se, deste modo aumentar expressivamente a auto-estima dos Militares.
Antes tinha dado um contributo diferente na formação dos jovens do nosso País, a sua paixão: foi docente em regime parcial no departamento de Matemática, na delegação da Universidade Pedagógica, em Nampula, entre 2002 e 2007.
Participou na Luta de Libertação Nacional, e hoje é membro da Associação dos Combatentes da Luta de Libertação Nacional e do seu Comité Nacional. 
Em 1990 foi galardoado com menção honrosa na República Checa.
A sua vida partidária é também exemplar: foi membro do Comité Provincial do Partido Frelimo em Nampula, até 2008. Em 2012 foi eleito no 10º Congresso, como membro do órgão máximo do Partido entre congressos: o COMITÉ CENTRAL DO PARTIDO FRELIMO.
O grande compromisso de Filipe Nyusi:
"UNIDOS VENCEREMOS"
</t>
  </si>
  <si>
    <t>https://facebook.com/Office-of-the-President-791067600945337</t>
  </si>
  <si>
    <t>https://facebook.com/Office-of-the-President-Republic-of-Botswana-752312678198295</t>
  </si>
  <si>
    <t xml:space="preserve">Get first hand information on issues surrounding the Presidency right here. </t>
  </si>
  <si>
    <t>MISSION
To ensure good governance and sustainable development through effective leadership and coordination of national policies and programmes for national prosperity.
VALUES
Botho - Provision of service with courtesy, politeness, respect and consideration.
Commitment - Devotion to exercise due diligence in the provision of service.
Transparency - Openness and accountability in our dealings and transactions with customers and stakeholders.
Teamwork - Unity is strength.  Working together and supporting each other in pursuit of customer satisfaction.
Excellence - Commitment to provide quality service.</t>
  </si>
  <si>
    <t>*The Presidential Housing Appeal
*The Presidential Charitable Fund</t>
  </si>
  <si>
    <t>The Official Facebook page for the Office of the President was created with the purpose for dissemenating timely information directly from the President and his Cabinet.  We will do our best to post all press releases and news items directly relating to and coming from the Office of the President.  We also welcome any questions and comments from members which we believe will only help guide us to find solutions for many of the issues that face Palau and its citizens today.
Ke Kmal Mesulang,
Keobel Sakuma
Press Secretary
Office of the President
Repbulic of Palau</t>
  </si>
  <si>
    <t>https://facebook.com/opmguyana</t>
  </si>
  <si>
    <t>https://facebook.com/opmuganda</t>
  </si>
  <si>
    <t xml:space="preserve">Under Article 108A of the Constitution of the Republic of Uganda, the Office of the Prime Minister is mandated to:
Be the Leader of Government Business in Parliament and be responsible for coordination and implementation of Government Policies across Ministries, Departments and other Public Institutions.
</t>
  </si>
  <si>
    <t>https://facebook.com/orbanviktor</t>
  </si>
  <si>
    <t>Magyarország erősödik!
Orbán Viktor miniszterelnök hivatalos közösségi oldala. / Prime Minister Viktor Orban's official community page.</t>
  </si>
  <si>
    <t xml:space="preserve">Республиканское государственное учреждение </t>
  </si>
  <si>
    <t>https://facebook.com/otptt</t>
  </si>
  <si>
    <t>https://facebook.com/PAGEOFFICIELLEIOG</t>
  </si>
  <si>
    <t>PAGEOFFICIELLEIOG</t>
  </si>
  <si>
    <t>https://facebook.com/PalaciodelaMoncloa</t>
  </si>
  <si>
    <t>https://facebook.com/palaismonaco</t>
  </si>
  <si>
    <t xml:space="preserve">♚ Bienvenue à tous, suivez toute l’actualité de S.A.S le Prince Albert II et de S.A.S la Princesse Charlene de Monaco. </t>
  </si>
  <si>
    <t>https://facebook.com/paologentiloni</t>
  </si>
  <si>
    <t>http://www.esteri.sm</t>
  </si>
  <si>
    <t>https://facebook.com/patrice.trovoada.oficial</t>
  </si>
  <si>
    <t>Patrice Trovoada nasceu no dia 18 de março de 1962, enquanto os pais encontravam-se no exílio em Libreville, no Gabão. 
Filho de pai e mãe Santomenses, Patrice Trovoada manteve contactos frequentes com São Tomé e Príncipe e desde muito cedo revelou afecto e apego ao seu país, tendo mostrado sempre a sua total disponibilidade para participar no seu processo de desenvolvimento.
Com o fim da ditadura em São Tomé e Príncipe e a abertura democrática em 1991, Patrice Trovoada regressa ao país e à vida política, participando activamente nas duas campanhas eleitorais livres e transparentes, que fizeram do seu pai o Primeiro Presidente democraticamente eleito pelo povo em toda a história do país. 
Entre Setembro de 2001 e Fevereiro de 2002, Patrice Trovoada exerceu o cargo de Ministro dos Negócios Estrangeiros e Comunidades.
Em 2006, foi candidato a Presidente da República com o apoio do MLSTP-PSD, tendo obtido 38,8% dos votos.
Em Fevereiro de 2008, é nomeado Primeiro Ministro e Chefe de um Governo de coligação (composto por PCD, MDFM e ADI), cargo que ocupou até Junho do mesmo ano. 
Mais tarde, em Julho de 2010, Patrice Trovoada, já à testa da Acção Democrática Independente (ADI), voltou à chefia do governo na sequência da victória do seu partido nas eleições legislativas daquele ano com 48% dos votos.
Em finais de 2012, após dois anos de governação, é afastado do cargo de Primeiro-Ministro e Chefe de Governo pelo actual Presidente da República, Dr. Manuel Pinto da Costa.
Desde aquela data que o ambiente político no país tornou-se tenso. Os apoiantes do ADI e do seu governo saíram à rua em massa, para expressarem o seu apoio ao governo e exigir ao Chefe de Estado Santomense a marcação de eleições legislativas antecipadas.
Devido às ameaças e acusações contra Patrice Trovoada e seus apoiantes, feitas pela troika partidária que assumiu a governação e pelo próprio Presidente da República, o líder do ADI abandona o país e passa a residir em Lisboa, sem que o país tenha logrado a distensão.
Recentemente Patrice Trovoada anunciou o seu regresso à Pátria, 16 meses depois do que considera uma saída forçada, na sequência da sua demissão do cargo pelo Presidente da República.
A decisão foi revelada numa comunicação enviada ao Conselho Nacional alargado do ADI, que reuniu cerca de mil pessoas.
Neste momento é candidato a Primeiro-Ministro de São Tomé e Príncipe pelo partido ADI.</t>
  </si>
  <si>
    <t>https://facebook.com/PaulBiya.PageOfficielle</t>
  </si>
  <si>
    <t>Je suis le deuxième président de l'État du Cameroun. J'ai accédé au pouvoir le 06 novembre 1982 après la démission du Président Ahmadou AHIDJO. Je suis marié et père de trois enfants. 
I am the second President of the State of Cameroon. I assumed office on 6 November 1982 following the resignation of President Ahmadou Ahidjo. I am married and have three children. 
Pour une biographie complète, visitez : http://www.prc.cm/index_fr.php?link=6
For a complete biography, visit http://www.prc.cm/index_en.php?link=6</t>
  </si>
  <si>
    <t>https://facebook.com/PCMPERU</t>
  </si>
  <si>
    <t>Bienvenidos a la cuenta oficial de la  Presidencia del Consejo de Ministros del Perú.
Síguenos también en: 
https://twitter.com/pcmperu</t>
  </si>
  <si>
    <t xml:space="preserve">La Presidencia del Consejo de Ministros –PCM–, es el Ministerio responsable de la coordinación y seguimiento de las políticas nacionales y sectoriales del Poder Ejecutivo, cuya máxima autoridad política es el Presidente del Consejo de Ministros, es Ministro de Estado. Además el Presidente del Consejo de Ministros y la Presidencia del Consejo de Ministros, gozan de las mismas competencias y funciones atribuidas a los Ministerios y los Ministros, señaladas en la Ley Orgánica del Poder Ejecutivo – Ley N° 29158. 
http://twitter.com/#!/pcmperu        -           http://www.youtube.com/audiovisualespcm         -         http://www.pcmperu.blogspot.com </t>
  </si>
  <si>
    <t>https://facebook.com/petroporoshenko</t>
  </si>
  <si>
    <t xml:space="preserve">З 7-ого червня 2014 року – Президент України
2012 рік - народний депутат України VII скликання, співголова Комітету парламентського співробітництва Україна-ЄС.
2012 рік - Міністр економічного розвитку і торгівлі України.
2007-2012 роки - Голова Ради НБУ.
2009-2010 роки - Міністр закордонних справ України.
2006-2007 роки - народний депутат України V скликання, Голова Комітету ВРУ з питань фінансів і банківської діяльності.
8.02.2005-8.09.2005 рік - Секретар Ради Національної безпеки і оборони України.
2002-2005 роки - народний депутат України IV скликання. Голова Комітету ВРУ з питань бюджету.
1998-2003 роки - член Координаційної ради з питань функціонування ринку цінних паперів в Україні.
2000-2002 роки - керівник фракції «Солідарність» у ВРУ III скликання.
1998-2002 роки - народний депутат України ІІІ скликання.
1998 рік - заснував іменний Благодійний фонд, який здійснює благодійні проекти у різних сферах суспільного життя.
1993 – 1998 роки  – генеральний директор Концерну «Укрпромінвест».
1989 – 1992 роки – аспірант-асистент Кафедри міжнародних економічних відносин Київського університету ім. Т.Г. Шевченка.
1984 – 1986 роки – служив в армії. 
Громадянин України. Мешкає на території України з дня народження, в тому числі протягом останніх 23-х років з дня проголошення Незалежності України.
Заслужений економіст України, лауреат Державної премії України в галузі науки і техніки, лауреат міжнародної премії імені П.Орлика, нагороджений Орденом «За громадянські заслуги» ступені Великого Хреста Королівства Іспанії.
Позапартійний.
Одружений. Дружина - Порошенко Марина Анатоліївна, сини – Олексій (1985 р.н.) і Михайло (2001 р.н.), доньки - Євгенія і Олександра (2000 р.н.)
</t>
  </si>
  <si>
    <t>https://facebook.com/pid.gov.official</t>
  </si>
  <si>
    <t>https://facebook.com/PMOIndia</t>
  </si>
  <si>
    <t>Official page of Prime Minister's Office of India</t>
  </si>
  <si>
    <t>https://facebook.com/PMOJO</t>
  </si>
  <si>
    <t xml:space="preserve">في عام 2010 </t>
  </si>
  <si>
    <t>https://facebook.com/pmopressecoffice</t>
  </si>
  <si>
    <t>http://www.pmpresssecretariat.com</t>
  </si>
  <si>
    <t>By:
Deli-Sharon Oso
Press Secretary to the Prime Minister
Chris Leua
Assistant Press Secretary to the Prime Minister</t>
  </si>
  <si>
    <t>https://facebook.com/polska</t>
  </si>
  <si>
    <t>https://facebook.com/portalbrasil</t>
  </si>
  <si>
    <t>https://facebook.com/predsednikrs</t>
  </si>
  <si>
    <t>Председник Републике Србије  
Рођен је 15. фебруара 1952. године у Крагујевцу. По звању је мастер економиста. Техничку школу, грађевински смер, завршио је у Крагујевцу, а дипломирао на Факултету за економију и инжењерски менаџмент у Новом Саду. Запослио се 1971. године у Грађевинско предузеће „Жеграп“ и радио у Мајданпеку, Прибоју, Пријепољу, Требињу, Београду и другим местима, све до 1978.године, када се вратио у Крагујевац у фирму „22. децембар“, где је био шеф Одсека за инвестиције и одржавање. Био је и технички директор Комуналног предузећа у Крагујевцу.
Николић се партијски први пут ангажовао у Народној радикалној странци где је брзо изабран за потпредседника. На његову иницијативу дошло је до уједињења те странке и месних одбора Српског четничког покрета Војислава Шешеља  и стварања нове странке 23. фебруара 1991. године под називом Српска радикална странка. За председника СРС изабран је Војислав Шешељ, а Николић за потпредседника. Касније је три пута биран за заменика председника странке. Поднео је оставку 6.септембра 2008.године на све функције у Српској радикалној странци. Већ у октобру 2008.године је основао Српску напредну странку на чијој је Оснивачкој скупштини 21.октобра 2008.године изабран за председника.
Томислав Николић је од 1992.године посланик у Скупштини Србије и једини посланик који је биран у сваки сазив од 1992.године. Због политичког деловања, 1995.године осуђен је на двомесечну казну затвора коју је издржавао у Гњилану.
У марту 1998. године изабран је за потпредседника Владе Србије. Од августа 1999.године обављао је дужност потпредседника Савезне владе док је премијер био Момир Булатовић. 
У мају 2007.године изабран је за председника Народне скупштине Републике Србије, али је после 5 дана смењен гласовима оних који су га изабрали.
Учествовао је на председничким изборима 2000.године и освојио треће место иза Војислава Коштунице и Слободана Милошевића.
На председничким изборима 2003.године добио је највише гласова(47%), али због недовољне излазности није постао председник.
На поновљеним изборима 2004.године у првом кругу освојио је највише гласова, а у другом кругу изгубио од Бориса Тадића у односу 45%:53,7%.
На председничким изборима 2008.године Николић успева да освоји више гласова него што су радикали икада освојили на неким изборима (2.197.155 гласова односно 47,97%) и занемарљивом разликом изгуби од свог противкандидата (2.304.467 гласова односно 50,31%).
На председничким изборима 2012.године у другом кругу избора Томислав Николић побеђује дотадашњег председника Србије Бориса Тадића са 49,54% (1.552.063 гласова) наспрам 47,31% (1.481.952 гласова) и тиме постаје председник Србије.
Поднео је оставку на фукцију председника Српске напредне странке чиме је испунио своје предизборно обећање и тако постао председник свих грађана Србије.
Полагањем заклетве пред посланицима Народне скупштине на дужност је ступио 31. маја 2012.године.
Говори енглески и руски језик.
Ожењен је Драгицом, има синове Радомира и Бранислава, унуке Ленку, Јулију, Димитрија, Војина и Јанка.</t>
  </si>
  <si>
    <t>https://facebook.com/Pres.Rouhani</t>
  </si>
  <si>
    <t xml:space="preserve">Hassan Rouhani was born in 1948 in Sorkheh, near Semnan, into a family who fought against the former Shah of Iran.
He started religious studies in 1960, first at Semnan Seminary. before moving on to the Qom Seminary in 1961.
He attended classes taught by prominent scholars of that time including Seyed Mohaqqiq Damaad, Sheikh Morteza Haeri, Seyed Mohammad Reza Golpayegani, Soltani, Fazel Lankarani, and Sheikh Mohammad Shahabadi.
In addition, he studied modern courses, and was admitted to the University of Tehran in 1969, and obtained his bachelor’s degree in judicial law in 1972.
Rouhani continued his studies in the West and graduated from Glasgow Caledonian University in 1995 with an MPhil thesis entitled "The Islamic legislative power with reference to the Iranian experience", followed by a PhD degree in 1999.
</t>
  </si>
  <si>
    <t>https://facebook.com/Presidence.du.Niger</t>
  </si>
  <si>
    <t>https://facebook.com/Presidence.Mali</t>
  </si>
  <si>
    <t>Information et communication</t>
  </si>
  <si>
    <t>BP 10 Koulouba, 00223 Bamako, Mali</t>
  </si>
  <si>
    <t>https://facebook.com/Presidence.tn</t>
  </si>
  <si>
    <t xml:space="preserve">جانفي 2011 </t>
  </si>
  <si>
    <t>قرطاج الرئاسة
رئاسة الجمهورية التونسية
01 جانفي 2012
مرحبا بكم على الصفحة الرسمية لرئاسة الجمهورية التونسية،
نتمنى أن تكون هذه الصفحة، التي نريدها أن تكون ملكا لكل التونسيين، بوابة مفتوحة ومساحة حوار وتبادل آراء مع كل المواطنين على إختلاف أعمارهم وقناعاتهم السياسية والعقائدية في كنف الإحترام والحوار البناء والنقد المفيد.
هذا وسنسعى من خلال هذه الصفحة إلى تكريس الشفافية والإنفتاح في الإعلام الخاص بكل أنشطة الرئاسة ومواقفها وسياساتها لتكون الرئاسة، لا فقط مؤسسة تخدم وتحمي سيادة الدولة والمصلحة الوطنية العليا، بل أكثر من ذلك كتابا مفتوحا ومؤسسة تتبنى الشفافية قولا وفعلا قطعا مع الماضي وتمشيا مع مبادئ ثورتنا المجيدة.
أنتم زاد تونس وفخرها ومعكم وبكم سنعمل من أجل ازدهار هذا الوطن العظيم. ندعوكم إذا إلى تقديم إقتراحاتكم والتعبير عن آرائكم وانتقاداتكم وتقييمكم لأداء الرئاسة في مختلف المجالات بكل موضوعية وحرية وفي إطار الإحترام لهذه المؤسسة التي تمثل الشعب والدولة لا غير.
أخيرا نرجو منكم إحترام قواعد الحوار الحضاري ولفت إنتباهكم أنه لن نسمح بنشر أي تعليقات تمس بالأخلاق واحترام الدولة وتخرج عن إطار الحوار البناء والنقد المفيد.
مع خالص المودة،
رئاسة الجمهورية التونسية</t>
  </si>
  <si>
    <t>https://facebook.com/PresidenceBurundi</t>
  </si>
  <si>
    <t xml:space="preserve">Toute l’actualité de l'action de la Présidence de la République du Burundi. </t>
  </si>
  <si>
    <t>https://facebook.com/Presidencecotedivoire</t>
  </si>
  <si>
    <t>Page Facebook officielle de la Présidence de la République de Côte d'Ivoire.
Site web Officiel: http://www.presidence.ci
Twitter Officiel: @Presidenceci</t>
  </si>
  <si>
    <t>https://facebook.com/PresidenceGabon</t>
  </si>
  <si>
    <t>https://facebook.com/PresidenceRepubliqueGuinee</t>
  </si>
  <si>
    <t xml:space="preserve">La Présidence de la République de Guinée également
sur Twitter : https://twitter.com/Sekhoutoureya
sur Youtube : http://www.youtube.com/user/SekhoutoureyaTV/featured
</t>
  </si>
  <si>
    <t>https://facebook.com/Presidencia.cv</t>
  </si>
  <si>
    <t>O Presidente da República é o garante da unidade da Nação e do Estado, da integridade do território, da independência nacional e vigia e garante o cumprimento da Constituição e dos tratados internacionais.
O Presidente da República representa interna e externamente a República de Cabo Verde e, por inerência das suas funções, é o Comandante Supremo das Forças Armadas.</t>
  </si>
  <si>
    <t>https://facebook.com/PresidenciadeColombia</t>
  </si>
  <si>
    <t>Puede escribir al señor Presidente a través de este aplicativo: http://goo.gl/mCTcvW
Web: http://www.presidencia.gov.co
Twitter:@JuanManSantos - @infopresidencia
Youtube: http://www.youtube.com/sigcolombia</t>
  </si>
  <si>
    <t>https://facebook.com/Presidencia-de-la-Rep%C3%BAblica-de-Panama-529224993865914</t>
  </si>
  <si>
    <t xml:space="preserve">Pagina Oficial de Facebook Presidencia de Panamá 
http://www.presidencia.gob.pa/
</t>
  </si>
  <si>
    <t xml:space="preserve">Manuel Amador Guerrero </t>
  </si>
  <si>
    <t xml:space="preserve">Coordinar todas actividades estatales que se realizan a nivel del Sector Público; informar a la ciudadanía sobre la gestión gubernamental; desarrollar programas de asistencia social; ser responsable de la promulgación de normas y decisiones de carácter general emandas del Consejo de Gabinete; mantener la seguridad personal de Presidente de la República en todas las circunstancias así como proveer de escoltas y seguridad a Dignatarios Estatales; divulgar, a través de la radiodifusión estatal, la gestión gubernamental de los ciudadanos.
</t>
  </si>
  <si>
    <t xml:space="preserve">Coordinar las funciones del estado y ser el órgano de comunicación del Presidente de la República y del Consejo de Gabinete con los demás órganos del Estado, ministerios, entidades descentralizadas y particulares en general.
</t>
  </si>
  <si>
    <t>https://facebook.com/PresidenciadePanama</t>
  </si>
  <si>
    <t>https://facebook.com/PresidenciaElSalvador</t>
  </si>
  <si>
    <t>Página de Facebook oficial de la Presidencia de la República de El Salvador. 
http://www.presidencia.gob.sv/
http://www.twitter.com/presidencia_sv</t>
  </si>
  <si>
    <t xml:space="preserve">Página de Facebook oficial de la Presidencia de la República de El Salvador.  
http://www.presidencia.gob.sv
</t>
  </si>
  <si>
    <t>https://facebook.com/PresidenciaMX</t>
  </si>
  <si>
    <t>Residencia Oficial de Los Pinos Teléfono: 5093 5300 Atención a la ciudadanía: 01 800 080 1127 (llamada sin costo)  Presidencia de la República, México - Algunos derechos reservados © 2012</t>
  </si>
  <si>
    <t>https://facebook.com/presidenciaperu</t>
  </si>
  <si>
    <t>https://facebook.com/PresidenciaRD</t>
  </si>
  <si>
    <t>Página oficial de la Presidencia de la República Dominicana.
www.presidencia.gob.do</t>
  </si>
  <si>
    <t>https://facebook.com/presidencymv</t>
  </si>
  <si>
    <t>+960 3323701</t>
  </si>
  <si>
    <t>https://facebook.com/PresidencyZA</t>
  </si>
  <si>
    <t>+27 (0)12 300 5200</t>
  </si>
  <si>
    <t>https://facebook.com/president.gov.ua</t>
  </si>
  <si>
    <t xml:space="preserve">Офіційне представництво. </t>
  </si>
  <si>
    <t>https://facebook.com/presidenteraulcastro</t>
  </si>
  <si>
    <t>https://facebook.com/PresidentialStrategicCommunicationsUnitDigital</t>
  </si>
  <si>
    <t>https://facebook.com/PresidentIlhamAliyev</t>
  </si>
  <si>
    <t>http://president.az</t>
  </si>
  <si>
    <t xml:space="preserve">© The material used on this page is provided by the official website of the President of the Republic of Azerbaijan. </t>
  </si>
  <si>
    <t>https://facebook.com/PresidentOfficeRMI</t>
  </si>
  <si>
    <t>+692 625 2233/3445</t>
  </si>
  <si>
    <t>https://facebook.com/PresidentPaulKagame</t>
  </si>
  <si>
    <t>https://facebook.com/PresidentYAG</t>
  </si>
  <si>
    <t xml:space="preserve">Official Facebook Page for the President of the Republic of Maldives </t>
  </si>
  <si>
    <t xml:space="preserve">Abdulla Yameen Abdul Gayoom (born. 21st May 1959) is the incumbent President of the Republic of Maldives. As the Head of State and Government, he is also, therefore, the Commander-in-Chief of the Armed Forces.
Yameen is a founding signatory and former Leader of the Parliamentary Group of the Progressive Party of Maldives (PPM). With his assumption of office, he continues to serve on the Governing Council of the PPM, as the Party’s first “Musthashaar”(Chief Advisor).
EDUCATIONAL OVERVIEW
After completing primary and secondary schooling in Majeedhiyya School in Male’, Yameen obtained a Bachelor’s Degree in Business Administration, at the American University of Beirut, Lebanon. Later, he obtained a Master’s Degree in Public Policy from the Claremont Graduate School in Los Angeles, California.
GOVERNMENT SERVICE RECORD
After completing his secondary education, Yameen began his government service in July 1978, as a Surveyor at the Land Registrations Division. After completing his undergraduate studies in Beirut, Lebanon, he returned home in mid-1982 and served first as Secretary at the Department of Finance and then as Research Officer at the Research and International Organisations Division of the Maldives Monetary Authority (MMA). On his return after completing his postgraduate studies, Yameen began what would be a two decade long record of service in the Trade and Industries Ministry. Among the posts that he had held there were Foreign Trade Development Officer, Undersecretary, Assistant Director, Deputy Director, Director, Director General and then Minister.
CORPORATE GOVERNANCE
Yameen’s reputation as a visionary, efficient and result-oriented corporate chief executive was enhanced with his appointment, in June 1997, as the Chairman of the State Electric Company Limited (STELCO). The utility enterprise was facing tough times when he assumed office, with frequent outages of power in the capital and mounting debts. Yameen’s interventions saw a dramatic turnaround in the company’s fortunes. In less than three years, STELCO began registering appreciable profits and had gained the reputation of the people for quality of service. Yameen had also served as the Chairman of leading State enterprises Island Aviation Services (IAS) and State Trading Organisation (STO), during his illustrious career. He had also held the post of Vice Chairman of the Addu Development Authority.
COMMUNITY SERVICE
In May 2004, Abdulla Yameen Abdul Gayoom was appointed as the Chair of the Machchangolhi Ward of Male’. The smallest of the four wards of the capital at the time, Yameen focused on the development of education and social harmony among the residents. During his tenure, he supported the growth of Ahmadhiyya School, which soon became the top primary and secondary school in Male’ by examination results. Machchangolhi also enjoyed a period of unprecedented success in numerous national competitions, particularly in arts and crafts.
Abdulla Yameen Abdul Gayoom was first appointed as Minister of Trade and Industries on 11 November 1993. As the Trade Minister, Yameen modernised the Maldives’ trade sector, broadening the economy and bringing in more investments to the country. He was also a key player in Maldives’ becoming a Member of the Multilateral Investment Guarantee Agency (MIGA) and other international trade and investment organisations.
In addition to his service as Minister of Trade and Industries (and later as Minister of Trade, Industries and Labour), Yameen also served as Minister of Higher Education, Employment and Social Security (July 2005 – April 2007) and as Minister of Tourism and Civil Aviation (September 2008 – November 2008).
PARLIAMENTARY ACHIEVEMENTS
Yameen was elected on the 17th of November 2013 as the Sixth President of the Republic after a two decade long record of service as a Member of the People’s Majlis (the Parliament). He debuted in parliamentary politics in 1993.
He had initially served as the Member for the South Miladhunmadulu (Noonu) Atoll Constituency, for which he was elected for four successive terms. For his final term, he was elected as the Member for the Mulaku (Meemu) Atoll Constituency. Yameen also served as the Minority Leader of the Majlis, until he was elected as President. In the People’s Majlis, Yameen was renowned for his intellectual contributions to Majlis debates. He was also a strong advocate of finding legislative solutions to economic issues. A nearly ever-present member of the budgetary debates in the Majlis, Yameen earned a reputation as an esteemed economist and corporate strategist. He had also served, during his years as a senior parliamentarian, as the Chair of the Standing Committees on National Security and of Economics. During President Gayoom’s tenure, Yameen played an active role in formulating many of the legislations relating to trade and economy.
REFORM EFFORTS AND PARTY POLITICS
During the final term of office of President Maumoon Abdul Gayoom, Yameen was at the forefront of the implementation of a raft of democratic reforms, particularly through the legislature. Among his most vocal contributions were the lowering of the voting age to 18 years and establishing the framework of the current Constitution of 2008. Yameen was a Member of the People’s Special Majlis (the Constitutional Assembly), that drafted the Constitution.
With the introduction of pluralist politics in 2005, Yameen played a key role in the registration and initial development of the Dhivehi Rayyithunge Party (DRP), under the stewardship of President Maumoon Abdul Gayoom. Later, Yameen formed the People’s Alliance (PA), of which he was the Leader. In 2011, he joined forces with the reformists in the DRP – led by President Gayoom, to form the Progressive Party of Maldives (PPM), again under the stewardship of President Gayoom. Yameen was the architect of the Party’s almost overnight electoral success. In less than two years, PPM had registered no less than 20 victories in bi-elections for vacant seats in local governance and for the People’s Majlis. The winning streak culminated, in November 2013, with the remarkable presidential elections success for PPM, bringing Abdulla Yameen Abdul Gayoom to leadership.
INTERESTS &amp; FAMILY
Son of Sheikh Abdul Gayoom Ibrahim (Maafaiygey Dhon Seedhi) – an eminent judge, Yameen is the brother of former President Maumoon Abdul Gayoom.
Yameen has been an enthusiastic sportsman from his schooling years, with football and cricket as his preferences. He is also an avid historian. Yameen is married to Fathimath Ibrahim. They have three children – two sons and a daughter. </t>
  </si>
  <si>
    <t>https://facebook.com/PresidentYoweriKagutaMuseveni</t>
  </si>
  <si>
    <t>Born on 15 August 1944 in Ntungamo, Uganda Protectorate, Museveni is a member of the Banyankole ethnic group and his surname, Museveni, means "Son of a man of the Seventh", in honour of the Seventh Battalion of the King's African Rifles, the British colonial army in which many Ugandans served during World War II.
Museveni gets his middle name from his father, Amos Kaguta, a cattle herder. Amos Kaguta is also the father of Museveni's brother Caleb Akandwanaho, popularly known in Uganda as "Salim Saleh", and sister Violet Kajubiri.
Museveni attended Kyamate Elementary School, Mbarara High School, and Ntare School. It was while at high school that he became a born-again Christian.[citation needed] In 1967, he went to the University of Dar es Salaam in Tanzania. There, he studied economics and political science and became a Marxist, involving himself in radical pan-African politics. While at university, he formed the University Students' African Revolutionary Front activist group and led a student delegation to FRELIMO territory in Portuguese Mozambique, where he received guerrilla training. Studying under the leftist Walter Rodney, among others, Museveni wrote a university thesis on the applicability of Frantz Fanon's ideas on revolutionary violence to post-colonial Africa.
In 1970, Museveni joined the intelligence service of Ugandan President Dr. Apolo Milton Obote. When Major General Idi Amin seized power in a January 1971 military coup, Museveni fled to Tanzania with other exiles, including the deposed president. The power bases of Amin and Obote were very different, leading to a significant ethnic and regional aspect to the resulting conflict. Obote was from the Lango ethnic group of the central north, while Amin was a Kakwa from the northwestern corner of the country. The British colonial government had organized the colony's internal politics so that the Lango and Acholi dominated the national military, while people from southern parts of the country were active in business. This situation endured until the coup, when Amin filled the top positions of government with Kakwa and Lugbara and violently repressed the Lango and their Acholi allies.
FRONASA and the toppling of Amin (1972–80)
The exile forces opposed to Idi Amin, who were predominantly Lango and Acholi, invaded Uganda from Tanzania in September 1972 and were repelled, suffering heavy losses. The situation of the rebels was compounded by a peace agreement signed later in the year by Tanzania and Uganda, in which rebels were denied the use of Tanzanian soil for aggression against Uganda.
 Museveni briefly worked as a lecturer at a co-operative college in Moshi, in northern Tanzania, before breaking away from the mainstream opposition and forming the Front for National Salvation (FRONASA) in 1973.
In August of the same year, he married Janet Kataha, a former secretary and airline stewardess with whom he would have four children 
In October 1978, Amin ordered the invasion of Tanzania in order to claim the Kagera province for Uganda. From 24 to 26 March 1979, Museveni and FRONASA attended a gathering of exiles and rebel groups in the northern Tanzanian town of Moshi. Overcoming ideological differences, for the time being at least, the various groups established the Uganda National Liberation Front (UNLF). Museveni was appointed to an 11-member Executive Council, chaired by Yusuf Kironde Lule. This was accompanied by a National Consultative Council (NCC) with one member for each of the 28 groups represented at the meeting. The UNLF joined forces with the Tanzanian army to launch a counter-attack which culminated in the toppling of the Amin regime in April 1979. Museveni was named the new Minister of State for Defence in the new UNLF government. He was the youngest minister in Yusuf Lule's administration. The thousands of troops which Museveni recruited into FRONASA during the war were incorporated into the new national army. They retained their loyalty to Museveni, however, and would be crucial in later rebellions against the second Obote regime.
The NCC selected Godfrey Binaisa as the new chairman of the UNLF after infighting led to the deposition of Yusuf Lule in June 1979. Machinations to consolidate power continued with Binaisa in a similar manner to his predecessor. In November, Museveni was reshuffled from the Ministry of Defence to the Ministry of Regional Cooperation, with Binaisa himself taking over the key defence role. In May 1980, Binaisa himself was placed under house arrest after an attempt to dismiss Oyite Ojok, the army chief of staff – in what was a de facto coup led by Paulo Muwanga, Yoweri Museveni, Oyite Ojok and Tito Okello. A Presidential Commission, with Museveni as Vice-Chairman, was installed and quickly announced plans for a general election in December.
Now a relatively well known national figure, Museveni established a new political party, the Uganda Patriotic Movement (UPM), which he would lead in the elections. He would be competing against three other political groupings: the Uganda People's Congress (UPC), led by former president Milton Obote; the Conservative Party (CP); the Democratic Party (DP). The main contenders were seen to be the UPC and DP. The official results declared UPC the winner with Museveni's UPM gaining only one of the 126 available seats. A number of irregularities compromised the credibility of the poll. In the planning of the election, the leader of the ruling commission, Paulo Muwanga, supported the UPC's view that each candidate should have a separate ballot box. This was fiercely opposed by the other parties, which maintained that it would make the poll easier to manipulate. The configuration of political boundaries may also have aided the UPC. Constituencies in generally pro-UPC northern Uganda contained proportionally less voters than the anti-UPC Buganda, giving more power to Obote's party. Suspicions of fraud were compounded by Muwanga's announcement on the day of the election that all results should be cleared by him before they were announced publicly. The losing parties refused to recognise the legitimacy of the new regime, citing widespread electoral irregularities.
The war in the bush (1981–86)</t>
  </si>
  <si>
    <t xml:space="preserve">Patriotism, Unity, Prosperity, Democracy, Sustainabilty </t>
  </si>
  <si>
    <t>+256 Kampala</t>
  </si>
  <si>
    <t>https://facebook.com/pressepresidentielle.rdc</t>
  </si>
  <si>
    <t>pressepresidentielle.rdc</t>
  </si>
  <si>
    <t>https://www.facebook.com/pressepresidentielle.rdc/</t>
  </si>
  <si>
    <t>https://facebook.com/pressslujbakg</t>
  </si>
  <si>
    <t>https://facebook.com/prezidentcr</t>
  </si>
  <si>
    <t>Oficiální stránka Miloše Zemana - prezidenta České republiky
www.zemanmilos.cz, @MZemanOficialni</t>
  </si>
  <si>
    <t xml:space="preserve">Narozen 28. září 1944 v Kolíně, otec poštovní úředník, matka učitelka. Rodiče se krátce po jeho narození rozvedli, takže vyrůstal pouze s matkou.
1950 – 1959 Základní devítiletá škola v Kolíně.
1959 – 1963 Střední ekonomická škola v Kolíně. Pro referát o T. G. Masarykovi mu bylo zakázáno pokračování ve studiu na vysoké škole.
1963 – 1967 pracuje ve strojírnách Tatra Kolín. Při tom od roku 1965 mu je umožněno alespoň dálkové studium na Vysoké škole ekonomické v Praze, obor národohospodářské plánování.
V roce 1967 přechází na denní studium téže školy.
V roce 1968 vstupuje do Komunistické strany Československa.
V roce 1969 promuje s červeným diplomem s diplomovou prací na téma prognostiky (s názvem Futurologie a budoucnost). Téhož roku začíná vyučovat tento obor na Vysoké škole ekonomické v Praze.
V roce 1970 vyloučen z Komunistické strany Československa pro nesouhlas se sovětskou okupací a počínající normalizací.
V letech 1970 – 1971 bez trvalého pracovního poměru, živí se příležitostnými studiemi pod cizím jménem.
V roce 1971 nastupuje do tělovýchovného podniku Sportpropag, kde vybudoval oddělení komplexního modelování označované jako „Slušovice výzkumu“.
První manželství v letech 1971 – 1978, syn David (v současnosti lékař).
V roce 1984 je na pokyn ÚV KSČ oddělení komplexního modelování zrušeno za údajně protistranický sborník „Metodologické problémy společenskovědního výzkumu“ a je opět propuštěn ze zaměstnání.
V roce 1984 nastupuje do zemědělského podniku Agrodat, kde se zabývá simulačními modely zemědělských systémů.
V roce 1986 se stává členem Světové prognostické společnosti (World Futures Research Society).
V září 1989 je potřetí propuštěn z práce za předchozí článek „Prognostika a přestavba“ publikovaný v Technickém magazínu.
Účastní se demonstrace 17. listopadu 1989 na Národní třídě, koncem listopadu a počátkem prosince vystupuje na demonstracích na Letné, na besedách v divadlech a vysokých školách.
V lednu 1990 je zaměstnán v Prognostickém ústavu ČSAV. Koncem ledna 1990 je za Občanské Fórum kooptován do Federálního shromáždění.
V červnu 1990 je znovu zvolen poslancem Federálního shromáždění za OF, stává se předsedou rozpočtového výboru a členem předsednictva Federálního shromáždění.
Ve volbách v roce 1992 kandiduje za Českou stranu sociálně demokratickou, kam přešel po rozpadu Občanského fóra, a je znovu zvolen poslancem Federálního shromáždění.
V únoru 1993 je zvolen předsedou ČSSD. Tato strana, která ve volbách v roce 1992 získala 7 % voličských hlasů, získala ve volbách 1996 27 % a ve volbách v roce 1998 32 % hlasů voličů. Do funkce předsedy ČSSD je znovu zvolen v letech 1995, 1997 a 1999. V roce 2001 již nepřijal kandidaturu na funkci předsedy ČSSD se zdůvodněním, že splnil svůj úkol tím, že přispěl k tomu, že se Sociální demokracie stala nejsilnější politickou stranou v České republice.
Druhé manželství 1993 – až doposud, dcera Kateřina (v současnosti studentka gymnázia)
V letech 1996 – 1998 zvolen předsedou Poslanecké sněmovny Parlamentu České republiky. V této funkci se snažil o rovnoprávnou spolupráci všech parlamentních stran, samozřejmě včetně dvou nejsilnějších.
V roce 1998 jmenován předsedou vlády České republiky. Tato vláda přejímala zemi v době hospodářské krize, projevující se poklesem hrubého domácího produktu a reálných mezd. Do roku 2002 se podařilo zemi z této krize vyvést, zvýšil se ekonomický výkon i životní úroveň, zečtyřnásobil se příliv přímých zahraničních investic, inflace klesla z 10 % na 3 %, byla profesionalizována armáda, provedena reforma veřejné správy a privatizován bankovní sektor. V letech 2000 – 2002 při tom vláda postupně snižovala deficit státního rozpočtu, který v roce 2002 dosáhl hodnoty 46 miliard korun.
V roce 2002 odmítnul znovu kandidovat na předsedu vlády se zdůvodněním, že splnil svůj úkol – vyvedení země z ekonomické krize.
Na podzim 2002 členové a příznivci Sociální demokracie ve dvou oddělených referendech vyzvali Miloše Zemana, aby kandidoval do funkce prezidenta České republiky.
V roce 2003 nebyl zvolen prezidentem České republiky vzhledem k tomu, že proti němu hlasovalo 27 poslanců ČSSD.
Od roku 2003 žije jako starobní důchodce trvale ve dvou obytných místnostech staré tvrze na Vysočině.
V roce 2005 vydává knihu „Jak jsem se mýlil v politice“, která se počtem 135 000 prodaných výtisků stala nejúspěšnější z jeho knih a byla vyhlášena bestsellerem roku.
V roce 2006 aktivně podporoval Sociální demokracii ve volební kampani, ale odmítl nabídku tehdejšího předsedy Jiřího Paroubka, aby znovu za sociální demokracii kandidoval na funkci prezidenta republiky s poukazem na své zkušenosti z prezidentské volby v roce 2003.
V březnu 2007 vystupuje ze Sociální demokracie pro nesouhlas s politikou předsedy ČSSD Jiřího Paroubka.
V prosinci 2009 zakládá Stranu Práv Občanů a na březnovém sjezdu 2010 je zvolen jejím předsedou. Ve volbách v květnu 2010 získává tato strana 4,3 % voličských hlasů. Protože nesplnil svůj slib překročení pětiprocentní hranice, rezignuje na funkci předsedy Strany Práv Občanů. Na sjezdu této strany v listopadu 2010 byl zvolen čestným předsedou, jímž je dosud.
V červnu 2012 jako první ze všech potenciálních kandidátů získal v petici 50 000 podpisů občanů potřebných pro kandidaturu na prezidenta České republiky.
Ve druhém kole historicky první přímé volbě prezidenta České republiky se stal Miloš Zeman ziskem 54,8 % hlasů prezidentem České republiky.
</t>
  </si>
  <si>
    <t>https://facebook.com/PrimatureHaitienne</t>
  </si>
  <si>
    <t>https://facebook.com/primatureRCA</t>
  </si>
  <si>
    <t>https://facebook.com/PrimatureRDCongo</t>
  </si>
  <si>
    <t>https://facebook.com/primeminister.kz</t>
  </si>
  <si>
    <t>https://facebook.com/PrimeMinisterKR</t>
  </si>
  <si>
    <t>국무조정실·국무총리비서실에서 운영하는 
공식 페이스북 페이지입니다.</t>
  </si>
  <si>
    <t>https://facebook.com/prmackysall</t>
  </si>
  <si>
    <t>https://facebook.com/QueenRania</t>
  </si>
  <si>
    <t xml:space="preserve">الملكة رانيا العبدالله - المملكة الأردنية الهاشمية #حب_الأردن 
 A mum and a wife with a really cool day job
</t>
  </si>
  <si>
    <t xml:space="preserve">Married to King Abdullah II ibn Al Hussein of Jordan; they have 4 children: Prince Hussein, Princess Iman, Princess Salma, and Prince Hashem.  Queen Rania’s office is based in Amman; her day to day work involves listening to and talking with the people of Jordan to learn from them the best way to improve their livelihoods and Jordan’s prospects.  Repairing and revamping local schools is one way Queen Rania is helping Jordan’s children get the best start in life.
Abroad, Queen Rania calls for greater global action on access to quality education, and in her capacity as Eminent Advocate for UNICEF, she campaigns on behalf of children in need. She also participates in international gatherings, such as the Clinton Global Initiative and the World Economic Forum, of which she is a Board Member. Her Majesty was also a member of the UN chief’s high-level panel assigned to advise on the global development agenda beyond 2015, the target date for the Millennium Development Goals (MDGs). 
As an Arab, Muslim woman, Queen Rania is committed to reconciling people of different faiths and cultures by encouraging cross-cultural dialogue, particularly amongst young people.
</t>
  </si>
  <si>
    <t>https://facebook.com/Quirinale-1531737037092929</t>
  </si>
  <si>
    <t>Presidenza della Repubblica
Pagina non ufficiale</t>
  </si>
  <si>
    <t>https://facebook.com/Rami.Hamdalla</t>
  </si>
  <si>
    <t>Dr. Rami Hamdallah  - د. رامي الحمد الله</t>
  </si>
  <si>
    <t>الصفحة الرسمية لدولة رئيس الوزراء
Official Page of Prime Minister Dr. Rami Hamdallah</t>
  </si>
  <si>
    <t>https://facebook.com/ranil.wickremesinghe.leader</t>
  </si>
  <si>
    <t xml:space="preserve">Ranil was elected to Sri Lanka Parliament at the General Election in 1977 at a young age of 28 years representing the newly constituted Biyagama electorate. The injustice of the government take-over of Lake House (the Associated Newspapers of Ceylon Ltd.), the leading newspaper house in the island, owned by his family, propelled him into the hub of Sri Lankan politics in 1973. Since then, he had been active in grassroots United National Party politics, organizing the UNP Youth League and the National Lawyers Association as well as the Jathika Adhyapanika Sevake Sangamaya. 
In 1977, Ranil was appointed the Deputy Minister of Foreign Affairs, in the first Government headed by President J R Jayawardene. The following year in September 1978, he was elevated to Cabinet rank by President Jayawardene, as Sri Lanka’s first Minister of Youth Affairs and Employment.  He was then the youngest Cabinet Member in Sri Lanka. Nonetheless, recognising his youthful Minister’s dynamic vision, initiative and energy, President Jayawardena gave him the onerous responsibility of the Ministry of Education in 1980 in addition to the Youth Affairs portfolio. 
Though a lesser man may have caved in under such grave responsibilities, the young minister thrived on the job. During his tenure as the Minister of Education, he initiated radical educational reforms aimed at the qualitative improvement of school education so as to harness the talents of children from an early age. There was a special focus on improving the teaching of English and Science. Fast realizing the significance of information technology, Ranil commenced educational TV and introduced computers to schools. A system of giving annual grants to local Pirivena schools was also initiated by him. Ranil also activated major improvements in the teaching service, which included the criteria of an Education Administrative Service, a Principals’ Service and the recruitment of teachers through examinations. The salaries of the education sector were also realistically revised during this period. A School Sports Division was introduced to encourage sports and the education of the handicapped and disabled received special attention. 
Ranil re-organised the Industrial Apprentice Training Scheme, and rapidly expanded the number of trainees in the island. He also promoted technical training in temples, with one of the first institutes being the Sri Jinaratana Technical Training Institute of the Gangaramaya. His graduate placement scheme was hundred percent successful leading to the employment of all graduates associated with it. During his tenure, the country saw the establishment of the Colleges of Education of Hapitigama, Nittambuwa, Passduwa, Mahaweli, Nilwala, Bandarawela, Sripadha and he negotiated for the Vavuniya College of Education. He also set up the National Institute of Education.  
As Minister of Youth Affairs and Employment, Ranil reorganised, strengthened and expanded the National Youth Services Authority so as to revitalise the National Youth Service Council after seven years of deterioration. The main objective of the first comprehensive all-island Youth Development Programme was to give youth a place in society. This was done through the promotion of youth clubs throughout the country, as well as through regular Youth Camps – Yowunpura - in different parts of the island such as Pollonnaruwa, Kuliyapitiya, Matale, Anuradhapura, Bandarawela. Participants for these youth camps came from all over the country (including the north and east); they still bear testimony to the friendship and leadership as well as team spirit, a sense of adventure, a readiness for challenge, and an appreciation of nature developed during those times. Ranil also launched the National Youth Award Scheme to reward youth initiatives and talents in many fields. In 1988, after several months of negotiation with the Japanese government, he was able to construct the largest Youth Centre in Asia (at the time) in Maharagama. 
One event that Ranil holds dear to his heart during this period, was a visit to Jaffna in 1979, with the then Minister of Fisheries, Mr. Festus Perera. Unlike in today’s political climate, when politicians zoom around in tinted cars, surrounded by security, the two Ministers were able to cycle in and around Jaffna on bicycles - to meet people and discuss their day to day needs.  
As MP for Biyagama - one of the least developed electorates in the Gampaha district, Ranil started to dramatically change the landscape of the area with brand new roads, electrification schemes, water and sanitation projects, schools and community centres and other infrastructure inputs befitting a model suburb of the 21st century. He established the Biyagama Free Trade Zone to provide employment in various industries for thousands of young men and women. Among some of the other projects instituted by him were the Sapugaskanda Industrial Estate, the CEB Thermal Power station, the Sapugaskanda new town, the Kaduwela / Biyagama bridge, the two new police stations of Sapugaskanda and Biyagama, vocational training schemes, and the Youth Centre at Heyatudowa.   He also allocated land to build the first private sector thermal power station in Sapugaskanda so as to supplement the country’s increasing energy needs. 
When the new President, Ranasinghe Premadasa formed his Cabinet in February 1989, Ranil, a well-seasoned legislator by then, was appointed the Leader of the House in Parliament. He was also appointed as the Minister of Industries.  Later, in March 1990, the functions of Science and Technology were added to his portfolio of Industries.  He became the Chief Media Spokesman for the Cabinet in March 1991.
As Leader of the House in Parliament, Ranil managed the government’s legislative business during President Premadasa’s regime with remarkable efficiency and astuteness.
Ranil was responsible for Sri Lanka’s second round of economic liberalisation that commenced in 1989.  The strategy for industrialisation was to liberalise the financial sector, de-regularised many other quarters and privatise state enterprises. He did so, firstly, by legislating the Industry Promotion Act to establish Industrialisation Commission and the Regional Industrial Services Centres. These provided the requisite infrastructure to establish industries in the rural areas. This paved the way for President Premadasa’s 200 garment factories to be taken to the village. A number of Industrial Estates were created around the island including Pannala and Horana; the key one being the Seethawaka Industrial Estate. 
Fully understanding the need to keep up with the rest of the world, he actively promoted the computer and information technology industries in Sri Lanka. A significant development was INFOTEL LANKA, the first regional Information Technology Exhibition and Conference organised in Sri Lanka.
Ranil was also the President of the Jathika Wathu Kamkaru Sangamaya, through which he organized labouring estate workers. 
By this time, he had gained an impeccable reputation for honesty and his integrity was unquestionable. More than anything else, his reputation for loyalty and honour in an era of dirty politics was exemplar. During the impeachment motion of President Premadasa, Ranil supported President Premadasa through the crisis. 
In May 1993, Ranil unexpectedly became the Prime Minister of Sri Lanka, after the tragic demise of President Premadasa. In the chaos following the assassination, Ranil was instrumental in taking charge of the events and facilitating the swift swearing in of the then Prime Minister Wijetunge. 
In the capacity as Prime Minister, he strengthened Sri Lanka’s bilateral and multilateral ties with other nations in the region and the Commonwealth.  The country’s highest levels of economic growth for the decade were recorded during Ranil’s term as the Prime Minister. He continued as Prime Minister until the General Elections of 1994, when the UNP voted out after 17  years in power. At the time and even later, in 2004, he was commended for relinquishing office without ado once the people's verdict was made known. 
In November 1994, Ranil became the Leader of the United National Party and the Leader of the Opposition in Parliament. Under his leadership, the UNP undertook extensive restructuring at institutional and grassroots levels and further democratised the Party to represent a more equitable balance in terms of ethnicity, gender and youth. Women political activists of the UNP Women's League were brought together under the Lak Vanitha banner, while the UNP Youth League was renamed and reorganised as the Yowun Peramuna.
The era of leadership in the Opposition was marked by Ranil’s extreme fortitude and tolerance, sometimes, taxing the patience of his party people. It was his primary concern to reform and strengthen the UNP that had by then developed many internal splits. His reputation as a gentleman in politics remain unchallenged, so much so, that it was remarked that “he said what he was going to do and did what he said he would do” (kiyana dhe karana, karana dhe kiyana), a slogan that he later adopted for an election  campaign. 
Ranil the Leader of the United National Party and the United National Front was sworn in as the 12th Prime Minister of the Democratic Socialist Republic of Sri Lanka on 9th December 2001, after having convincingly won the Parliamentary General Elections.
</t>
  </si>
  <si>
    <t xml:space="preserve">Ranil is the second son of Esmond and Nalini Wickremesinghe. Esmond Wickremesinghe was an eminent press magnate and one time President of the International Press Institute and the winner of the Golden Pen of Freedom – the annual award to individuals who have made an outstanding contribution to the defence of press freedom.  Nalini Wickremesinghe is associated with promoting the Arts in the island.  She is the daughter of D R Wijewardene – one of the country’s famed freedom fighters and the press baron who founded Sri Lanka’s largest publishing house Associated Newspapers of Ceylon Ltd. His paternal grandfather C L Wickremesinghe was a highly respected, top-ranking, government official who left an indelible mark in the country’s administrative service during the colonial years. 
He has three brothers and one sister.
Ranil is married to Maithree Wickramasinghe, a Professor at the Department of English, University of Kelaniya. She is also a visiting lecturer on gender and women's studies at other educational institutions.  
Ranil was born on 24th March 1949.  He received his secondary education at Royal College, Colombo. Thereafter, he graduated from the University of Colombo with a Degree in Law. In 1972, he enrolled as an Advocate of the Supreme Court of Sri Lanka. He practised as a lawyer for five years. While at the University, he was actively involved in student politics, becoming the President of the Law Students Union and the Vice President of the University Students’ Council.  
</t>
  </si>
  <si>
    <t xml:space="preserve">Politics, History, Sri Lankan history, Buddhism </t>
  </si>
  <si>
    <t>https://facebook.com/rdussey</t>
  </si>
  <si>
    <t>https://facebook.com/RecepTayyipErdogan</t>
  </si>
  <si>
    <t>Aslen Rizeli olan Recep Tayyip Erdoğan 26 Şubat 1954'te İstanbul'da doğdu. 1965 yılında Kasımpaşa Piyale İlkokulu'ndan, 1973 yılında ise İstanbul İmam Hatip Lisesi'nden mezun oldu. Fark dersleri sınavını vererek Eyüp Lisesi'nden de diploma aldı. Üniversiteyi Marmara Üniversitesi İktisadî ve Ticarî Bilimler Fakültesi'nde okuyan Erdoğan, bu okuldan 1981 yılında mezun oldu.
Gençlik yıllarından itibaren sosyal hayat ve siyasetle iç ice bir yaşamı tercih eden Erdoğan, disiplinli ekip çalışmasının ve takım ruhunun önemini kendisine çok genç yaşlarda öğreten futbolla 1969-1982 yılları arasında amatör olarak ilgilendi. Aynı zamanda bu yıllar, genç bir idealist olarak memleket meseleleri ve toplumsal sorunlarla ilgilenen Recep Tayyip Erdoğan'ın aktif politikaya adım attığı döneme rastlamaktadır.
Lise ve üniversite yıllarında Millî Türk Talebe Birliği öğrenci kollarında aktif görev alan Recep Tayyip Erdoğan, 1976 yılında MSP Beyoğlu Gençlik Kolu Başkanlığı'na ve aynı yıl MSP İstanbul Gençlik Kolları Başkanlığı'na seçildi. 1980 yılına kadar bu görevlerini sürdüren Erdoğan, siyasi partilerin kapatıldığı 12 Eylül döneminde, özel sektörde bir süre müşavirlik ve üst düzey yöneticilik yaptı.
1983 yılında kurulan Refah Partisi ile fiilî siyasete geri dönen Recep Tayyip Erdoğan, 1984 yılında Refah Partisi Beyoğlu İlçe Başkanı, 1985 yılında ise Refah Partisi İstanbul İl Başkanı ve Refah Partisi MKYK üyesi oldu. İstanbul İl Başkanlığı görevi sırasında diğer siyasi partiler için de model olan yeni bir örgütsel yapı geliştiren Erdoğan, bu dönemde özellikle kadınların ve gençlerin siyasete katılımını artırmaya yönelik çalışmalar yaptı; siyasetin tabana yayılarak geniş halk kitleleri tarafından benimsenip itibar görmesi yolunda önemli adımlar attı. Bu yapılanma, mensubu bulunduğu Refah Partisi'ne 1989 Beyoğlu yerel seçimlerinde büyük bir başarı kazandırırken, yurt genelinde de parti çalışmaları için örnek teşkil etti.
27 Mart 1994 yerel seçimlerinde İstanbul Büyükşehir Belediye Başkanı seçilen Recep Tayyip Erdoğan, siyasî yeteneği, ekip çalışmasına verdiği önem, insan kaynakları ve malî konulardaki başarılı yönetimiyle dünyanın en önemli metropollerinden biri olan İstanbul'un kronikleşmiş sorunlarına doğru teşhis ve çözümler üretti. Su sorunu, yüzlerce kilometrelik yeni boru hatlarının döşenmesiyle; çöp sorunu ise dönemin en modern geri-dönüşüm tesislerinin kurulmasıyla çözümlendi. Hava kirliliği sorunu Erdoğan döneminde geliştirilen doğalgaza geçiş projeleriyle son bulurken, kentin trafik ve ulaşım açmazına karşı 50'den fazla köprü, geçit ve çevre yolu inşa edildi; sonraki dönemlere ışık tutacak birçok proje geliştirildi. Belediye kaynaklarının doğru kullanımı ve yolsuzluğun önlenmesi amacıyla olağanüstü önlemler alan Erdoğan, 2 milyar dolar borçla devraldığı İstanbul Büyükşehir Belediyesi'nin borçlarını büyük ölçüde ödedi ve bu arada 4 milyar dolarlık yatırım gerçekleştirdi. Böylece, Türkiye'nin belediyecilik tarihinde yeni bir çığır açan Erdoğan, bir yandan diğer belediyelere örnek olurken, bir yandan da halk nezdinde büyük bir güven kazandı.
Recep Tayyip Erdoğan, 12 Aralık 1997'de Siirt'te halka hitaben yaptığı konuşma sırasında, Millî Eğitim Bakanlığı tarafından öğretmenlere tavsiye edilen ve bir devlet kuruluşu tarafından yayınlanan bir kitaptaki şiiri okuduğu için hapis cezasına mahkum edildi ve İstanbul Büyükşehir Belediye Başkanlığı görevine son verildi.
Recep Tayyip Erdoğan, 4 ay kaldığı cezaevinden çıktıktan sonra kamuoyunun ısrarlı talebi ve gelişen demokratik sürecin bir sonucu olarak 14 Ağustos 2001'de arkadaşlarıyla birlikte Adalet ve Kalkınma Partisi'ni (AK Parti) kurdu ve Kurucular Kurulu tarafından AK Parti'nin Kurucu Genel Başkanı seçildi. Milletin teveccüh ve güveni AK Parti'yi daha kuruluşunun ilk yılında Türkiye'nin en geniş halk desteğine sahip siyasî hareketi haline getirdi ve 2002 yılı genel seçimlerinde üçte iki parlamento çoğunluğuyla tek başına iktidara taşıdı.
Hakkındaki mahkeme kararı nedeniyle 3 Kasım 2002 seçimlerinde milletvekili adayı olamayan Erdoğan, yapılan yasal düzenlemeyle milletvekili adaylığının önündeki yasal engelin kalkması üzerine, 9 Mart 2003'te Siirt ili milletvekili yenileme seçimine katıldı. Bu seçimde oyların yüzde 85'ini alan Erdoğan, 22. Dönem Siirt Milletvekili olarak parlamentoya girdi.
15 Mart 2003 tarihinde Başbakanlık görevini üstlenen Recep Tayyip Erdoğan, aydınlık ve sürekli kalkınan bir Türkiye idealiyle, hayatî öneme sahip birçok reform paketini kısa süre içinde uygulamaya koydu. Demokratikleşme, şeffaflaşma ve yolsuzlukların engellenmesi yolunda büyük mesafeler katedildi. Buna paralel olarak ülke ekonomisi ve toplum psikolojisini olumsuz yönde etkileyen ve onyıllardır çözülemeyen enflasyon kontrol altına alındı, itibarını yeniden kazanan Türk Lirası'ndan 6 sıfır atıldı. Devletin borçlanma faiz oranları aşağı çekildi, kişi başına düşen millî gelirde büyük artış gerçekleştirildi. Ülke tarihinde daha önce görülmemiş hız ve sayıda baraj, konut, okul, yol, hastane ve enerji santrali hizmete girdi. Bütün bu olumlu gelişmeler, bazı yabancı gözlemciler ve Batılı liderler tarafından "Sessiz Devrim" olarak adlandırıldı.
Recep Tayyip Erdoğan, Avrupa Birliği'ne giriş sürecinde ülke tarihinin dönüm noktası olarak nitelenen başarılı girişimlerine ek olarak, akılcı dış politikası ve yoğun ziyaret-temas trafiğiyle Kıbrıs sorununun kalıcı çözüme kavuşturulması ve dünyanın çeşitli ülkeleriyle verimli ilişkiler geliştirilmesi konularında önemli adımlar attı. Tesis edilen istikrar ortamı iç dinamikleri harekete geçirirken, Türkiye'yi bir merkez ülke haline getirdi. Türkiye'nin ticaret hacmi ve siyasal gücü, yalnız içinde bulunduğu coğrafî bölgede değil, uluslararası alanda da hissedilir düzeyde arttı.
Recep Tayyip Erdoğan, 22 Temmuz 2007 genel seçimlerinde %46.6 oy alarak büyük bir zafer kazanan Ak Parti’nin Genel Başkanı olarak Türkiye Cumhuriyeti’nin 60. Hükümeti’ni kurdu ve tekrar güvenoyu aldı.
Recep Tayyip Erdoğan, 12 Haziran 2011 seçimlerinden de daha büyük bir zaferle çıktı ve % 49.8 oy alarak 61. Hükümeti kurdu.
10 Ağustos 2014 Pazar günü halkın oyları ile 12. Cumhurbaşkanı seçildi.
Recep Tayyip Erdoğan evli ve 4 çocuk babasıdır.</t>
  </si>
  <si>
    <t>https://facebook.com/Regierung-des-F%C3%BCrstentums-Liechtenstein-1411588962478507</t>
  </si>
  <si>
    <t>Genereller Kontakt:
Regierung des Fürstentums Liechtenstein
Regierungsgebäude
Peter-Kaiser-Platz 1
Postfach 684
9490 Vaduz
Telefon: +423 236 61 11
E-mail: newsletter@regierung.li
Presse / Medien - Kontakt:
Information und Kommunikation der Regierung
Peter-Kaiser-Platz 1
9490 Vaduz
Fürstentum Liechtenstein
Telefon: +423 236 67 21
E-mail: office@regierung.li
Medien- und Interviewanfragen:
E-mail: medien@regierung.li</t>
  </si>
  <si>
    <t>https://facebook.com/REPUBLIC-OF-TOGO-6683533941</t>
  </si>
  <si>
    <t>https://facebook.com/ReuvenRivlin</t>
  </si>
  <si>
    <t>ראובן (רובי) ריבלין, נשיא מדינת ישראל העשירי
President of the State of Israel, Reuven "Ruvi" Rivlin</t>
  </si>
  <si>
    <t>https://facebook.com/RHCJO</t>
  </si>
  <si>
    <t>يعتبر الديوان الملكي الهاشمي، الذي عرف تاريخيًا بالمقر، حلقة الوصل السياسية والإدارية بين جلالة الملك عبدالله الثاني وبين السلطات الدستورية (التنفيذية والتشريعية والقضائية)، فضلًا عن كونه المؤسسة التي تعنى بالعلاقة المباشرة بين الملك وأبناء وبنات شعبه.
ويمثل الديوان الملكي الهاشمي، الذي تأسس مع بدايات نشأة الدولة، الواجهة والذراع الرسمية التي تشرف على إعداد وتنفيذ برامج جلالة الملك المحلية والدولية، إضافة إلى دوره في إسناد مختلف مؤسسات الدولة التنفيذية والتشريعية والقضائية لتأدية المهام الموكلة إليها حسب الدستور من خلال ما يقدمه من دعم سياسي وإداري ودبلوماسي محليًا وعربيًا ودوليًا.
The Royal Hashemite Court (RHC), known historically as Al Maqar (the Headquarters), is considered the political and administrative link between His Majesty King Abdullah II and the Constitutional Authorities (Government, Legislative and Judicial), The Armed Forces and The Security Services. It also acts as the primary institution responsible for handling the relationship between His Majesty and the Jordanian people.
Established at the time of the creation of the Jordanian state, the RHC is the official body that oversees the preparation and implementation of His Majesty’s local and international activities. Moreover, the RHC provides the necessary political, administrative and diplomatic support to the executive, legislative and judicial branches of the state in order to enable them to fulfill the tasks entrusted to them by the Constitution.</t>
  </si>
  <si>
    <t>الدستور المملكة الأردنية الهاشمية
http://www.representatives.jo/pdf/constitutions.pdf
---
The Constitution of the Hashemite Kingdom of Jordan http://www.representatives.jo/pdf/constitution_en.pdf</t>
  </si>
  <si>
    <t>https://facebook.com/rouhani.ir</t>
  </si>
  <si>
    <t>The Sole Facebook Page of President Rouhani and Government of Prudence &amp; Hope
http://president.ir
http://dolat.ir</t>
  </si>
  <si>
    <t xml:space="preserve">Dr.Hassan Rouhani is an Iranian politician, Shia Mujtahid, lawyer, diplomat and President of Iran. He has been a member of the Assembly of Experts since 1999, member of the Expediency Council since 1991, member of the Supreme National Security Council since 1989, and head of the Center for Strategic Research since 1992.
 He holds a Ph.D. in Constitutional Law and an M. Phil. in Law from Glasgow Caledonian University (UK), and a B.A. in Judicial Law from the University of Tehran. 
He was elected as 7th President of  Islamic Republic of Iran on 15 June 2013.
</t>
  </si>
  <si>
    <t>https://facebook.com/RT-Hon-Dr-Ruhakana-Rugunda-1577972009097699</t>
  </si>
  <si>
    <t>The Rt. Hon. Prime Minister of the Republic of Uganda and Leader of Government  Business in Parliament</t>
  </si>
  <si>
    <t>https://facebook.com/RwandaGov</t>
  </si>
  <si>
    <t xml:space="preserve">Mission: “To elaborate strategies and programmes, whose objectives are to implement, monitor and evaluate Rwanda’s foreign policy as well as to clearly articulate this policy both inside and outside the country”
Specific Objectives: Contributing to the elaboration of Rwanda’s foreign policy;
    Promoting good relations based on respect, mutual interests and complementarity between Rwanda and other countries, aiming at enhancing peace, security and development;
    Strengthening the bilateral relations, extending them to countries having no historical relations with Rwanda;
    Promoting and protecting the interests of Rwanda along with those of the Rwandan Diaspora;
    Mobilizing and attracting foreign investments into Rwanda, and making arrangements for Rwandan products to access foreign markets;
    Mobilizing Rwandans living abroad and getting them involved in their country’s development;
    Mobilizing bilateral and multilateral cooperation for development’s sake through re-invigorating good relations with other countries, regional and international organizations;
    Make arrangements and canvas for negotiations pertaining to bilateral and multilateral agreements;
    Conduct a follow-up of the implementation, the evaluation and updating of bilateral and multilateral agreements;
    Supervise and coordinate the activities of Rwandan diplomatic and consular missions abroad;
    Develop and keep up good working relations with the foreign diplomatic and consular missions, regional and international organizations accredited in Rwanda;
    Present a positive image of Rwanda in such a way as to correct the outside world’s wrong perception of the unity and history of the Rwandan people, this being a die-hard colonial legacy;
    Contribute to the efforts of the international community in combating terrorism;
    Promote the human rights and , in particular, combat genocide and other crimes against humanity;
    Contribute to the creation of wealth through the promotion of regional integration and equitable world trade. </t>
  </si>
  <si>
    <t xml:space="preserve">Tel.:599128 – 599132 – 599134 </t>
  </si>
  <si>
    <t>https://facebook.com/SaintLuciaGovernment</t>
  </si>
  <si>
    <t>This page provides information about the services, events and programs provided by the Government of Saint Lucia. 
For more information visit www.govt.lc</t>
  </si>
  <si>
    <t>Saint Lucia's government consists of the Executive, the Legislature and the Judiciary, based on the separation of powers principle.
A Prime Minister is appointed by the Governor General from among the members of the House of Assembly. This is the person who is likely to command the support of the majority of the members of the House. In practice, this person is usually the leader of the political party which controls the majority of the seats in the House of Assembly.
The size and composition of the Cabinet is the prerogative of the Prime Minister. He may choose to add, alter, or reshuffle the Cabinet in any manner he deems fit.
There are currently 13 Ministers of Cabinet, including the Prime Minister.
Read more at http://www.govt.lc/cabinet
Saint Lucia attained Associated Statehood on March 1 1967, which allowed it full control of its internal affairs, with Britain responsible for Defence and Foreign Affairs in consultation with the Government of Saint Lucia. 
The Executive and Legislative Councils were abolished and replaced by a Cabinet and a House of Assembly. The post of administrator was abolished and replaced by a local Governor as the Queen’s representative in Saint Lucia. 
The first Governor under the new status was Dr. (later Sir) Frederick J. Clarke and the Chief Minister Hon. John G. Compton became the first Premier of Saint Lucia. The Cabinet comprised the five Ministers, the Attorney General, and the Secretary to Cabinet. The House of Assembly comprised a Speaker, the ten elected members, three nominated members, and the Attorney General.
In 1969, the voting age was reduced to 18 years. In 1974 seven new constituencies were added to the existing ten, bringing the number of elected members up to seventeen.
On February 22, 1979, Saint Lucia obtained total independence from Britain. Saint Lucia’s parliament now comprised Her Majesty’s representative, the Governor General; a Senate; and a House of Assembly. The decision-making body of Government remained the Cabinet of Ministers.
Read more at http://www.govt.lc/constitutionaldevelopment</t>
  </si>
  <si>
    <t>Citizens/Residents: For a listing of relevant services provided by the Government of Saint Lucia, visit http://www.govt.lc/services/for/citizens-residents
Non-Residents: For a listing of relevant services provided by the Government of Saint Lucia, visit http://www.govt.lc/services/for/non-residents-visitors
Businesses: For a listing of relevant services provided by the Government of Saint Lucia, visit http://www.govt.lc/services/for/businesses
Government Employees: For a listing of relevant services provided by the Government of Saint Lucia, visit http://www.govt.lc/services/for/government-employees</t>
  </si>
  <si>
    <t>https://facebook.com/Salahuddin.Rabbani</t>
  </si>
  <si>
    <t xml:space="preserve">The Official Facebook Page of  Salahuddin Rabbani, Head of Jamiat-e Islami Afghanistan and  Minister of Foreign Affairs of Afghanistan. </t>
  </si>
  <si>
    <t>A Brief Biography of Salahuddin Rabbani
Salahuddin Rabbani was born in Kabul, Afghanistan in 1971. 
After graduating from high school, he went to Saudi Arabia for higher education. In 1995, he received his Bachelor of Science Degree (BSc) in Marketing and Management from King Fahd University of Petroleum and Minerals, Dhahran, Saudi Arabia.
Salahuddin's first job was in Saudi Arabian Oil Company (ARAMCO) in Dhahran. He worked in ARAMCO's financial accounting department.
In 1996 he moved to Sharjah, United Arab Emirates. From 1996 to 1998 he worked in the private sector. In 1998 worked in President’s office as an advisor and interpreter.
In June 1999, he went to London for further studies. He applied at Kingston University's Business School and graduated with Masters degree in Business Management in 2001. 
In 2002, Salahuddin joined the Afghan Ministry of Foreign Affairs. From 2003 to 2006 he worked as political counselor at the Permanent Mission of Afghanistan to the United Nations in New York. He represented Afghanistan in the first committee of the United Nations, International security and disarmament.
In 2006 Mr. Rabbani resigned from the Foreign Ministry and applied at Columbia University's School of International and Public Affairs (SIPA) where he received his second Masters' degree in International Affairs. His concentration in SIPA was International Security Policy. 
In 2008, after graduating from Columbia University, he returned to Afghanistan and worked in Jamiat-e-Islami's political department, as deputy head for political affairs. 
In August 2010 he joined Foreign Ministry and in December 2010 he was appointed as Ambassador of Afghanistan to Turkey. 
Mr. Rabbani returned to Afghanistan in September 2011 after the martyrdom of Jamiat-e-Islami’s leader Professor Burhanuddin Rabbani. In October 2011, Salahuddin Rabbani was appointed as the acting head of Jamiat-e-Islami.
On 14 April 2011, President Karzai appointed Mr. Rabbani as Chairman of High Peace Council with strong support and encouragement of the Political leaders, Ulema, Tribal leaders and elders as well as members of the High Peace Council. 
Mr. Rabbani is married and has four Children. 
===</t>
  </si>
  <si>
    <t>https://facebook.com/samoagovt</t>
  </si>
  <si>
    <t>Samoa was the first Pacific nation to gain Independence in 1962.
Samoa's Constitution was established in 1960.   It blends traditional and democratic institutions and processes and recognizes the separation of powers (legislature, judiciary and executive).
Samoa has a Westminster legal system, like many other Commonwealth countries and is a Parliamentary democracy where its Parliament is elected through universal suffrage every five years.  
Samoa's court system consists of District and  Supreme Courts as well as an Appeal Court that sits once a year.  There is a separate Land and Titles Court that deals with matters relating to customary land ownership and matai (chief) titles.
Samoa has the smallest Exclusive Economic Zone (EEZ) in the Pacific at 98,500 km2.
As of the last census (2011), Samoa has a population of 186,340; 76% are in Upolu with 20% of that figure in the urban areas of the capital, Apia.
The official languages are Samoan and English.</t>
  </si>
  <si>
    <t>https://facebook.com/sanewsgovza</t>
  </si>
  <si>
    <t>https://facebook.com/SassouCG</t>
  </si>
  <si>
    <t>https://facebook.com/saudiportal</t>
  </si>
  <si>
    <t xml:space="preserve">البوابة الوطنية للتعاملات الإلكترونية الحكومية هي بوابة إلكترونية يستطيع من خلالها المواطنون والمقيمون والشركات والزوار من أي مكان الوصول إلى الخدمات الحكومية الإلكترونية في المملكة العربية السعودية وتنفيذ التعاملات بها بسرعة وكفاءة عالية، حيث تعتبر المدخل إلى الخدمات الإلكترونية الحكومية. 
وتتحقق إمكانية الوصول إلى الخدمات الإلكترونية عن طريق توفير الخدمات الإلكترونية عبر البوابة إما عن طريق التكامل مع جهات حكومية أخرى، أو عن طريق توفير روابط المواقع الإلكترونية لتلك الجهات ولخدماتها على البوابة. </t>
  </si>
  <si>
    <t>https://facebook.com/sebastiankurz.at</t>
  </si>
  <si>
    <t>https://facebook.com/SecretariaDeRelacionesExterioresDeHonduras</t>
  </si>
  <si>
    <t>https://facebook.com/Segegob</t>
  </si>
  <si>
    <t xml:space="preserve">Página Oficial del Ministerio Secretaría General de Gobierno, Chile. </t>
  </si>
  <si>
    <t xml:space="preserve">La fanpage del Ministerio Secretaría General de Gobierno es una instancia donde compartimos lo que sucede a nivel ministerial en todo el país. 
El propósito de estar en Facebook es poder comunicarnos con todas las personas que quieran contactarse con este ministerio, también nos puedes seguir por twitter en http://www.twitter.com/segegob 
Política del Fan Page 
Esta Fan Page estará siendo monitoreado constantemente con el fin de no permitir comentarios irrespetuosos ni que contengan algún tipo de grosería ya sea hacia otras personas o hacia el Ministerio Secretaría General de Gobierno.
La Secretaría General de Gobierno  no se hace responsable de los comentarios emitidos por los fans o cualquier otra persona que publique en este Facebook. Se permitirán tanto comentarios positivos como negativos. Sólo se borrarán comentarios ofensivos o denigrantes. Con esto, aseguramos que y todos puedan opinar libremente bajo algunas reglas que permiten la buena convivencia de la comunidad. 
Sólo serán borrados aquellos mensajes que: 
-Contengan imágenes, link o comentarios con ofensas, contenido violento, sexual, racista o cualquier otro tema ofensivo.
-Contengan publicidad irrelevante para el Fan Page.
-Estén repetidos, multiplicados o que puedan parecer Spam.
Si tienes algún comentario al respecto, pregúntanos por facebook y con gusto conversamos :) 
</t>
  </si>
  <si>
    <t xml:space="preserve">Ministerio Secretaría General de Gobierno
Palacio de La Moneda s/n 
Santiago, Chile.
</t>
  </si>
  <si>
    <t>https://facebook.com/Seretse-Khama-Ian-Khama-667630409972128</t>
  </si>
  <si>
    <t xml:space="preserve">His Excellency the President, Lieutenant General Seretse Khama Ian Khama, is first born son of Botswana's founder President, the late Sir Seretse Khama, and his revered wife the late Lady Ruth Khama. He was born on the 27th of February 1953 in Surrey, England as the second of four siblings, with an elder sister Jacqueline, and two younger twin brothers, Tshekedi and Anthony.
The location of the President's birth was due to the fact that his parents had been forced into political exile, being barred by the then colonial Government from residing in Botswana.  At the time Sir Seretse Khama was the uncrowned sovereign of one of Botswana's traditional Kingdoms, that of the Bangwato. But, for his defiance of racism, he had been barred from assuming his throne. This injustice was symbolically rectified in 1979 when, bowing to popular pressure, his eldest son agreed to be formally installed as the Kgosi eKgolo (traditional ruler) of Bangwato. At the time of the coronation it was, however, understood that Seretse Khama Ian Khama would, for an indefinite period, remain engaged in national service, leaving the tribal affairs of the Bangwato in the capable hands of others.
The triumphant return of his parents from exile in 1956 allowed Seretse Khama Ian Khama to begin his primary schooling among his own people in Serowe in 1960.  He thereafter did his secondary education at White Stone school in Bulawayo, in what is now Zimbabwe, and Waterford School  Swaziland, Geneva, with further studies Switzerland and Chichester, England.
Thereafter, Khama embarked on what would become a military career. For his tertiary education he attended the prestigious Royal Military Academy at Sandhurst, England. After graduating he enrolled for further training at the Nigerian Police Academy at Ikeja. He also underwent flight training, in Gaborone and thereafter Antwerp, Belgium, in 1974-75., and has since maintained his status a qualified pilot.
In 1973 Khama joined the paramilitary Police Mobile Unit, which was the forerunner of the Botswana Defence Force (BDF).  With the formation of the latter, in April 1977, Khama assumed the responsibility of Deputy Commander.  Formed in the face of rising regional tensions, which were then being driven by the racist regimes of Apartheid South Africa and rebel Rhodesia (liberated as Zimbabwe), who then encircled Botswana, at its formation the new army consisted of a mere 132 Police Mobile Unit veterans. This small force was immediately confronted with the task of countering stepped up cross border aggression by the then Rhodesian Security Forces. As both its Deputy Commander and Commander, from 1989 and 1998, Khama went on to play a central role in forging the BDF into a modern professional fighting force, which has won widespread respect for its record in such areas as international peacekeeping, disaster relief and anti-poaching activities, as well as defensive capabilities.
In April 1998 Lieutenant General Khama retired from the Botswana Defence Force and joined politics. As a member of the ruling Botswana Democratic Party, he was appointed Minister for Presidential Affairs and Public Administration.  In July that year, he won the Serowe North Constituency by-election and became its Member of Parliament. He was thereafter nominated for Vice President by President Festus Mogae; his nomination being subsequently endorsed by Parliament.  In addition to being Vice President Khama retained his Ministerial Portfolio at Presidential Affairs.
In the October 1999 general election, Khama again contested the Serowe North Constituency and won; he was again nominated and endorsed by Parliament as Vice President.  In October 2004 he contested the General Elections in the Serowe North West Constituency and was the only parliamentary candidate unopposed. He was also once more endorsed as Vice President.  In July 2003 Khama was further elected Chairman of the ruling Botswana Democratic Party.
Lt. Gen. Khama has a wide range of interests and is patron of various organizations, including Khama Rhino Sanctuary, Serowe Museum, Chobe Wildlife Trust, Mokolodi Wildlife Foundation, the Kalahari Flying Club, Botswana Volleyball Federation, Botswana Football Association and Botswana Softball Association, Botswana Cricket Association, Bana ba Metsi School and the Serowe North Development Trust. He is also the founding Chairman of the Sponsor a Child Trust whose main objectives are to assist disadvantaged children particularly destitute, disabled and orphaned children. He is also Chairman of the Lady Khama Charitable Trust, which he pioneered in memory of his late Mother. The Trust assists other specialised Charitable Organisations with financial and material resources to realise their own objectives. 
An avid football lover, Khama is also president of Mogoditshane Fighters, Miscellaneous Football Club and Okavango Football Club.  He is Vice Chairman of the Kalahari Conservation Society; Honorary Member of the Game Rangers Association of Southern Africa, and Board Member of the USA based Conservation International.
Khama has received a number of honours and awards including the Presidential Order of Honour, Founder Officer Medal, Duty Code Order and the Distinguished Service Medal. He was awarded the Conservation Award by the African Safari Club of Washington USA in 1991 and the Hotel and Tourism Industry Award in 1996, the Paul Harris Fellow and the Endangered Wildlife Trust Statesman Award in 2001.  
</t>
  </si>
  <si>
    <t>https://facebook.com/Setkabgoid</t>
  </si>
  <si>
    <t>Misi Sekretariat Kabinet RI:
Memberikan dukungan manajemen kabinet kepada Presiden dan Wakil Presiden dengan memegang teguh pada prinsip tata kelola pemerintahan yang baik (good governance).</t>
  </si>
  <si>
    <t xml:space="preserve">http://setkab.go.id/standar-pelayanan.html </t>
  </si>
  <si>
    <t>https://facebook.com/sgovpr</t>
  </si>
  <si>
    <t xml:space="preserve">A Secretaria de Governo auxilia a Presidência da República na coordenação política do Governo Federal. </t>
  </si>
  <si>
    <t xml:space="preserve">To provide timely and relevant information in a highly efficient manner to the general public regarding the policies, programmes and activities of the Government adopted in the process of national development.
</t>
  </si>
  <si>
    <t>Welcome to the official page of Ministry of Foreign Affairs of the Republic of Slovenia (MZZ RS) on Facebook. 
For more information, please visit our official website: http://www.mzz.gov.si 
You can also follow us on Twitter: @MZZRS</t>
  </si>
  <si>
    <t xml:space="preserve">The Ministry represents Slovenia abroad and in international organisations, monitors international political and economic relations, and is responsible for the development of relations between Slovenia and other states and international organisations. </t>
  </si>
  <si>
    <t>+386 1 478 2000</t>
  </si>
  <si>
    <t>https://facebook.com/sourikantei</t>
  </si>
  <si>
    <t>運用方針は、以下ＵＲＬからご覧いただけます。
（PC版）
http://www.kantei.go.jp/jp/pages/fb_policy.html
（モバイル版）
http://www.kantei.go.jp/mobile/pages/fb_policy.html</t>
  </si>
  <si>
    <t>https://facebook.com/SREMX</t>
  </si>
  <si>
    <t>La política exterior de #MéxicoGlobal.
Plaza Juárez #20, Col. Centro, Del. Cuauhtémoc, Distrito Federal. CP. 06010, Tel: (55) 3686 - 5100</t>
  </si>
  <si>
    <t>https://facebook.com/StateHouseKenya</t>
  </si>
  <si>
    <t>https://facebook.com/statehousepressofficezambia</t>
  </si>
  <si>
    <t xml:space="preserve">The State House Press Office is one of the offices of Five Special Assistants (Press, Economics, Politics, Legal, Projects Monitoring and Implementation) attending to the   The Office of the President of the Republic of Zambia which is not only the highest executive position in Government but the President is the Head of Government and the National Assembly, and also serves as Commander-in-Chief of the Defence Forces of Zambia. </t>
  </si>
  <si>
    <t>https://facebook.com/StateHouseSey</t>
  </si>
  <si>
    <t>+248 4295656</t>
  </si>
  <si>
    <t>https://facebook.com/statehouseug</t>
  </si>
  <si>
    <t xml:space="preserve">This is the official State House Facebook page
www.statehouse.go.ug/
@StateHouseUg
</t>
  </si>
  <si>
    <t>STATE HOUSE UGANDA
P.O. Box 25497,
Kampala,
Uganda.</t>
  </si>
  <si>
    <t>https://facebook.com/stefanlofven</t>
  </si>
  <si>
    <t xml:space="preserve">Partiordförande för Socialdemokraterna och Sveriges statsminister. </t>
  </si>
  <si>
    <t>Socialdemokraternas partiordförande vald 27 januari 2012. 
Fd. ordförande för fackförbundet IF Metall och ledamot i Socialdemokraternas verkställande utskott sedan 2006. 
Lämnade uppdraget som ordförande för IF Metall 27 januari 2012 då Stefan blev vald till ny partiordförande för Socialdemokraterna. 
Sveriges statsminister sedan 2 oktober 2014.</t>
  </si>
  <si>
    <t>https://facebook.com/stenbockimaja</t>
  </si>
  <si>
    <t>Stenbocki majas asuvad Vabariigi Valitsus ja Riigikantselei, siin töötab peaminister. Maja on Eesti täitevvõimu ehk igapäevase riigijuhtimise keskpunkt.
Praegust funktsiooni on Stenbocki maja täitnud alates 8. augustist 2000. Hoone kavandati algselt kohtuasutuste jaoks, kuid valmimisel 1792. aastal sai sellest Hiiumaa mõisniku, krahv Jakob Pontus Stenbocki linnaresidents.</t>
  </si>
  <si>
    <t>+372 693 5555</t>
  </si>
  <si>
    <t>https://facebook.com/SupportRooseveltSkerrit</t>
  </si>
  <si>
    <t>Roosevelt Skerrit (born 8 June 1972) is a Dominican politician who has been Prime Minister of the Commonwealth of Dominica since 2004, re-appointed in 2005, 2009, and 2014; he has also been the Member of Parliament for the Vieille Case constituency since 2000, re-elected in 2005, 2009, and 2014. Regionally, he has served as the Chairman of the Organisation of Eastern Caribbean States (OECS) and most recently as Chairman of the Caribbean Community (CARICOM) in 2010.
Early Life
Skerrit was born in the village of Vieille Case. He began his studies at the University of New Mexico, Las Cruces, New Mexico, USA. He later transferred to the University of Mississippi, Ole Miss, Oxford, Mississippi, where in 1997, he acquired a Bachelor’s (Honors) degree in Psychology (B.Sc.) and English (BA).
Career
Member of Parliament for Vieille Case
Skerrit was elected to the House of Assembly (legislature) as Member of Parliament for Vieille Case in 2000 before being appointed Minister for Youth Affairs and Sports by Prime Minister Rosie Douglas. He was Minister for Education.
Prime Minister
Skerrit was first sworn into office on January 8, 2004 after the untimely passing of his predecessor. Aged 31 at his swearing in, he became the world’s youngest Prime Minister, leading a two-party coalition government. The following month, February, Skerrit was elected Political Leader of the Dominica Labour Party.
In the May 2005 General Election, Skerrit successfully lead his Party to win an outright majority in the legislature, a feat last achieved by the DLP in 1975. In addition to being Prime Minister, Skerrit served as Minister of Education during that term.
In the December 18, 2009 General Election, Skerrit lead his Dominica Labour Party to win a second consecutive outright majority in the legislature, strengthening his Party’s share to 18 of 21 possible seats. On the December 21, 2009, Skerrit was appointed by President of Dominica, His Excellency Nicholas J. O. Liverpool, to be the Prime Minister of Dominica marking the beginning of his own second term in Office but third term as Prime Minister. On January 4, 2010, Prime Minister Skerrit was appointed by the President, to be Minister for Information Technology, Finance, and Foreign Affairs.
On December 8, 2014, Roosevelt Skerrit at the Dominica Labour Party won a third consecutive outright majority in the General Elections, securing 15 of 21 possible seats in the legislature. On December 9, 2014, Skerrit was appointed Prime Minister by President Charles Savarin. On December 10, 2014, Prime Minister Skerrit was appointed Minister for Finance and the Public Service by the President. Prime Minister Skerrit would be the first in Dominica's political history, to serve a fourth consecutive term in office as Prime Minister.
As Prime Minister, Skerrit is responsible for the Cabinet Secretariat; Elections; the Legislature; National Awards; the Government Printery and; Service Commissions and Board of Appeal. As Minister of Information Technology, he is responsible for Information Technology. As Minister of Finance, Skerrit is responsible for the Office of the Accountant General; the Audit Department; Banking and Banking Organizations; Boards of Surveys; Budget; Capital Repayments; Central Purchasing; Consolidated Fund; Currency; Customs and Excise; Enemy Property; Exchange Control; Finance and Financial Services; International Business; Inland Revenue; Lotteries; Pensions and Gratuities; Public Debt; Regional and International Financial Organizations and; Saving Banks. As Minister of Foreign Affairs, Skerrit is responsible for External Affairs; Contributions to Regional and International Organizations; Consular Affairs; Diplomatic Representation and; Protocol.
Regional and International Profile
Skerrit has earned an international reputation for his national and regional leadership along with his hands-on and sincere approach to international affairs. He is now a frequent lecturer at all levels. Lectures include The David Thompson Memorial Lecture: Future of CARICOM and Regional Integration at the University of the West Indies, Cave Hill, Barbados in 2011. More recently, he was Keynote speaker at the 2013 Annual Meeting of Eco-Forum Global in the People’s Republic of China.
Skerrit, as Prime Minister, has graduated to the forefront of Caribbean leadership, serving as Chair of the Caribbean Community (CARICOM) and the Organization of Eastern Caribbean States (OECS) during periods of historic fiscal and economic challenges faced by the region and the world: high debt, high unemployment, low growth, and high deficits. He has contributed to the formulation of the eight-point stabilization programme of the OECS. As leader of the first English-speaking and Caribbean Community (CARICOM) country to join the Bolivarian Alliance for the Peoples of our Americas (ALBA), in 2008, Skerrit is recognized for making a significant contribution towards building bridges between the predominantly English-speaking Caribbean region and the predominantly Spanish-speaking Latin American region. He is an ardent advocate of wider regional cooperation and has worked towards the deepening of cooperation with the Community of Latin American and Caribbean States (CLAS).
Personal Life
Skerrit is married to Melissa Skerrit; the couple recently celebrated the birth of their first child, Dmitry together. Skerrit previously had a son, Malik. He was raised as a Christian and possesses a strong sense of family and community Service. He has developed personal discipline and a passion for getting things done. Skerrit has empowered Dominican citizens and residents by involving them as partners in governance and development, especially the Youth through education and the poor, women, and the elderly through innovative social programmes in housing and settlement.</t>
  </si>
  <si>
    <t>https://facebook.com/SushmaSwarajBJP</t>
  </si>
  <si>
    <t>Minister of  External Affairs, Govt. of India</t>
  </si>
  <si>
    <t>• Hindi poetry
• Classical music
• Drama 
• Fine arts</t>
  </si>
  <si>
    <t>https://facebook.com/SyrianPresidency</t>
  </si>
  <si>
    <t>https://facebook.com/tcbestepe</t>
  </si>
  <si>
    <t>https://facebook.com/teamrowley</t>
  </si>
  <si>
    <t>Dr. Keith Christopher Rowley was born on October 24th 1949 in Mason Hall, Tobago, and was raised by his grandparents, who were prominent Tobago farmers. Dr. Rowley is married to attorney -at- law Sharon Rowley, they have two daughters Tonya (attorney-at-law) and Sonel (post graduate student) both of whom won national scholarships.
Dr. Rowley completed his secondary schooling at Bishop's High School, (BHS) Tobago and his sterling academic performance saw him capture the prestigious Sylvan Bowles Scholarship at Bishop’s High School.  He then commenced his studies at the University of the West Indies, Mona, Jamaica, from where he graduated with a BSc. Geology (First Class Honours), Geography (First Class Honours); MSc in Volcanic Stratigraphy, UWI, St.
Augustine. He is a Volcanologist who obtained his Doctorate in Geology, specialising in Geochemistry. He is a known nature lover, who enjoys gardening, hiking and is an avid golfer.
As a Research Scientist he held the positions of Research Fellow and later Head of the Seismic Research Unit at the University of the West Indies, St. Augustine. He was also the General Manager of State-owned National Quarries Company Limited.
He first ran for political office in 1981, where he contested the Tobago West seat. To date Keith Rowley has the distinction of being the only PNM candidate to have contested a seat in a General Election in both Tobago and Trinidad.
Dr. Keith Christopher Rowley is the Member of the House of Representatives for Diego Martin West in the Parliament of Trinidad and Tobago, where he has represented that area since 1991 having been re-elected in 1995, 2000, 2001, 2002, 2007 and 2010.
Dr. Rowley first served in Parliament as an Opposition Senator from 1987-1990. He later served at Cabinet level holding, at various times, the portfolios of Minister of Agriculture, Lands and Marine Resources, Minister of Planning and Development, Minister of Housing and as Minister of Trade and Industry.
He also served as Trinidad and Tobago’s representative Governor of the Inter-American Development Bank (IDB) and Governor of the Caribbean Development Bank (CDB).
Following the People's National Movement (PNM)'s defeat in the Trinidad and Tobago General Election, 2010, Dr. Rowley was appointed Leader of the Opposition of the Republic of Trinidad and Tobago and was elected Political Leader of the People’s National Movement in 2010; he continues to hold these positions today.</t>
  </si>
  <si>
    <t>https://facebook.com/thailandprd</t>
  </si>
  <si>
    <t>3 May 1933</t>
  </si>
  <si>
    <t>"Public relations mean relations among the public, or to make the people understand one another. Almost all undertakings have to rely on public relations. If all invloved attentively perform their duties in common interest, we can rest assured that the general public will benefit and prosper."
An excerpt from His Majesty the King's royal speech delivered to the Executive Board of the Public Relations Association of Thailand at Chitralada Villa, 25 March 1980</t>
  </si>
  <si>
    <t xml:space="preserve">Thailand's Government Public Relations Department, Office of the Prime Minister  เว็บไซต์กรมประชาสัมพันธ์ ภาคภาษาอังกฤษ The provider of official news and information about Thailand </t>
  </si>
  <si>
    <t>https://facebook.com/ThaiMFA</t>
  </si>
  <si>
    <t xml:space="preserve">เสริมสร้างสถานะและบทบาทของไทยในเวทีระหว่างประเทศ
</t>
  </si>
  <si>
    <t>ยินดีต้อนรับสู่เฟสบุ๊คเพจของกระทรวงการต่างประเทศ
Welcome to the official Facebook page of the Ministry of Foreign Affairs, Kingdom of Thailand</t>
  </si>
  <si>
    <t xml:space="preserve">หน้า Facebook ของกระทรวงการต่างประเทศมีไว้สำหรับเป็นแหล่งข้อมูลข่าวสารเกี่ยวกับนโยบายต่างประเทศ และการดำเนินการของสถานทูตในประเทศต่าง ๆ ของประเทศไทย โดยข้อมูลทั้งหมดที่โพสต์โดยผู้ดูแลเว็บไซต์ของกระทรวงการต่างประเทศเป็นข้อมูลที่ได้รับการรับรองจากกระทรวงการต่างประเทศ แต่ทั้งนี้ ไม่รวมถึงการแสดงความคิดเห็นของบุคคลอื่นบนหน้า Facebook ของกระทรวงการต่างประเทศ
ผู้ดูแลเว็บไซต์ขอสงวนสิทธิในการลบการแสดงความคิดเห็นบนหน้า Facebook ของกระทรวงการต่างประเทศที่เข้าข่ายต่อไปนี้
1. ข้อความที่ขัดต่อกฎหมายไทย
2. ข้อความประเภทรุนแรง หยาบคาย ดูหมิ่น เกลียดชัง หรือเหยียดชาติพันธุ์
3. ข้อความที่มีความหมายในเชิงขู่ขวัญ หรือทำลายชื่อเสียงผู้อื่น หรือสถาบันใด ๆ
4. ข้อความชักชวน โฆษณา และการสนับสนุน ซึ่งเกี่ยวข้องกับการเงิน การพาณิชย์ หรือองค์กรการค้าใด ๆ
และผู้ดูแลเว็บไซต์ขอสงวนสิทธิการบล็อคผู้ใช้ที่แสดงความคิดเห็นในลักษณะข้างต้นเกิน 2 ครั้ง
ทั้งนี้ กระทรวงการต่างประเทศสนับสนุนการแสดงความคิดเห็นอย่างมีหลักการ มีเหตุมีผล และที่สำคัญคือไม่ใช้อารมณ์เป็นตัวตั้ง หากความคิดเห็นของผู้เข้าชมท่านใดถูกลบ และผู้เข้าชมคิดว่าความคิดเห็นดังกล่าวไม่ได้เข้าข่ายการแสดงความคิดเห็นที่กล่าวไปข้างต้น สามารถอุทธรณ์ได้โดยการส่ง inbox message มาเพื่อชี้แจงได้.
ขอบคุณค่ะ
</t>
  </si>
  <si>
    <t>https://facebook.com/TheBritishMonarchy</t>
  </si>
  <si>
    <t>Welcome to the British Monarchy's official Facebook page!  We provide updates, pictures and videos about the work and activities of The Queen and the Royal Family in the UK and around the world.
We would like this page to be enjoyable for all so please note that any offensive or inappropriate comments will be deleted and the user may be blocked.</t>
  </si>
  <si>
    <t xml:space="preserve">The Office of the Prime Minister provides professional and other support to the Prime Minister and the Cabinet and is responsible for co-ordinating the implementation of decisions taken by the Prime Minister and the Cabinet in order to ensure and promote the effective and efficient conduct of business of the Government. 
The Secretariats/Divisions/Units that comprise the Office of the Prime Minister are as follows: 
Secretariats 
      1) Cabinet Secretariat 
      2) National Security Council Secretariat 
      3) National Awards Committee Secretariat 
      4) Sport and Culture Fund Board of Management 
      5) Commissions of Enquiry 
      6) National Economic Council 
Divisions/Units 
      1) Corporate Services Division 
      2) Public Information and Communications Unit 
      3) International Relations and Protocol Unit 
      4) Policy Strategy and Government Performance Management Unit 
      5) National Operations Centre (NOC) 
      6) Regional Security Coordination Centre 
      7) Internal Audit 
      8) Office of the Prime Minister Security Unit 
</t>
  </si>
  <si>
    <t>Trg svetog Marka 2, 10000 Zagreb, Croatia</t>
  </si>
  <si>
    <t>https://facebook.com/tsheringtobgay</t>
  </si>
  <si>
    <t>Prime Minister of Bhutan.
http://www.tsheringtobgay.com/
http://www.facebook.com/PMBhutan</t>
  </si>
  <si>
    <t>+975-233-6667</t>
  </si>
  <si>
    <t>https://facebook.com/tsiprasalexis</t>
  </si>
  <si>
    <t xml:space="preserve">Γεννήθηκε το 1974 στην Αθήνα.
Είναι διπλωματούχος Πολιτικός Μηχανικός Ε.Μ.Π.
με μεταπτυχιακές σπουδές στην Πολεοδομία και Χωροταξία.
Εργάστηκε ως πολιτικός μηχανικός στον κατασκευαστικό κλάδο.
Οργανώθηκε στην αριστερά στα μαθητικά του χρόνια από τις γραμμές της ενιαίας τότε ΚΝΕ. Συμμετείχε ενεργά στο μαθητικό κίνημα κατά την περίοδο των καταλήψεων ’90-’91 και στη συνέχεια στο φοιτητικό κίνημα.
Το 1999 εκλέχθηκε Γραμματέας της Νεολαίας Συνασπισμού, θέση που διατήρησε μέχρι το 3ο Συνέδριο της Οργάνωσης (Μάρτιος 2003).
Στο 4ο Συνέδριο του ΣΥΝ (Δεκέμβριος 2004) εκλέχθηκε στην Κεντρική Πολιτική Επιτροπή και ακολούθως στην Πολιτική Γραμματεία του κόμματος, όπου ανέλαβε την ευθύνη για θέματα Παιδείας και Νεολαίας.
Τον Οκτώβριο του 2006 εκλέχθηκε σύμβουλος στον Δήμο Αθηναίων, ως επικεφαλής της δημοτικής κίνησης "ΑΝΟΙΧΤΗ ΠΟΛΗ".
Στο 5ο τακτικό Συνέδριο του Συνασπισμού της Αριστεράς των Κινημάτων και της Οικολογίας (Φεβρουάριος 2008) εκλέχθηκε Πρόεδρος του Κόμματος.
Στις εθνικές εκλογές του 2009 έθεσε τον εαυτό του στην κρίση των πολιτών και εκλέχθηκε βουλευτής στην Α' Αθηνών.
Στο 6ο τακτικό Συνέδριο του Συνασπισμού της Αριστεράς των Κινημάτων και της Οικολογίας (Ιούνιος 2010) επανεξελέγη Πρόεδρος του Κόμματος.
Στις εθνικές εκλογές του 2012 εκλέχτηκε βουλευτής του Κόμματος στην Πάτρα.
Στο 1ο Ιδρυτικό Συνέδριο του Συνασπισμού Ριζοσπαστικής Αριστεράς (Ιούλιο 2013) εξελέγη Πρόεδρος του Κόμματος.
Στο 4ο Συνέδριο του Κόμματος Ευρωπαϊκής Αριστεράς στη Μαδρίτη (Δεκέμβριος 2013) προτάθηκε για Υποψήφιος Πρόεδρος της Ευρωπαϊκής Επιτροπής. </t>
  </si>
  <si>
    <t>https://facebook.com/tsiprasforpresident</t>
  </si>
  <si>
    <t>- President of SYRIZA (Coalition of the Radical Left)
- Leader of the Opposition in Greece
- Vice President of the European Left Party
Alexis Tsipras was born in 1974 in Athens. He received his civil engineering degree from the National Technical University of Athens, where he also completed postgraduate studies in Urban and Regional Planning. He worked as a civil engineer in the construction industry and conducted a series of studies regarding urban planning in Athens.
He joined the Left while still in high school and actively participated in the pupils’ movement during '90-'91; he continued his commitment at university in the student movement.
In 1999 he was elected Secretary of the Youth of Synaspismos, a position he maintained until March 2003.
During the 4th Congress of Synaspismos (December 2004) he was elected to the Central Political Committee and also to the Political Secretariat of the Party, where he was responsible for Education and Youth policies.
In October 2006 he was a Mayoral candidate for the city of Athens, representing the municipal movement "Open City", which came in third with a percentage of 10,5%.
During the 5th Congress of Synaspismos (February 2008), he was elected President of the Party.
In the national elections of 2009 he was elected Member of the Greek Parliament and became Chairman of the parliamentary group of SYRIZA.
During the 3rd Congress of the European Left Party (December 2010) in Paris, he was elected Vice President.
 Since the general election of 2012 when he was re-elected as a Member of Parliament, he is Leader of the Main Opposition in Greece.
During the 4th Congress of the European Left Party (December 2013), he was nominated as a candidate for the Presidency of the European Commission and was also re-elected Vice President of the European Left Party.</t>
  </si>
  <si>
    <t>https://facebook.com/TurkishForeignMinistry</t>
  </si>
  <si>
    <t xml:space="preserve">Official Facebook page of the  Ministry of Foreign Affairs of  Republic of Turkey </t>
  </si>
  <si>
    <t>+90 (0312) 292 10 00</t>
  </si>
  <si>
    <t>https://facebook.com/UAEmGov</t>
  </si>
  <si>
    <t>حكومة الامارات الذكية
UAE mgovernment</t>
  </si>
  <si>
    <t>https://facebook.com/UdenrigsministerietsBorgerservice</t>
  </si>
  <si>
    <t xml:space="preserve">Udenrigsministeriets Borgerservice hjælper danskere i udlandet. Følg os for at få råd og vejledning før og under din rejse. </t>
  </si>
  <si>
    <t xml:space="preserve">*** Retningslinjer for Udenrigsministeriets Borgerservices Facebook-side ***
På Udenrigsministeriets Borgerservices Facebook-side ønsker vi et konstruktivt samspil og opfordrer derfor til god takt og tone i kommentarer og indlæg. Vi har opstillet følgende retningslinjer for deltagelse:
Det er ikke muligt at lave opslag på vores væg, men du er velkommen til at kommentere vores indlæg. 
Udenrigsministeriets Borgerservice forbeholder sig ret til at fjerne kommentarer, der kan virke:
•	stødende 
•	diskriminerende
•	har kommerciel karakter
•	indeholder personfølsomme oplysninger 
•	som er i strid med gældende lovgivning
•	som ingen relevans har for sidens tema eller det indlæg, der kommenteres
Udenrigsministeriets Borgerservice foretager ingen sagsbehandling via Facebook. Henvendelser, der vedrører Borgerservices område, herunder konkrete borgerservicesager, skal sendes til bbb@um.dk. 
Har du akut brug for hjælp kan du hele døgnet ringe til Udenrigsministeriets Globale Vagtcenter på tlf. +45 33 92 11 12. 
Henvendelser, der omhandler andre områder i Udenrigsministeriet, skal sendes til um@um.dk.
For mere information om Borgerservices virke besøg også vores website: http://um.dk/da/rejse-og-ophold/
</t>
  </si>
  <si>
    <t>https://facebook.com/UgandaMediaCentre</t>
  </si>
  <si>
    <t xml:space="preserve">Uganda Media Centre  is a government official Public Relations department charged with disseminating factual information concerning Government of Uganda  </t>
  </si>
  <si>
    <t>+256-414-237 141/3 OR +256 -312-226125</t>
  </si>
  <si>
    <t xml:space="preserve">The UK government Facebook page is here to highlight support and advice about UK government services. 
This used to be the Directgov Facebook page, but because Directgov no longer exists, we've renamed it UK government.
We’re happy to help you in any way that we can. Unfortunately, we can't answer individual customer service enquiries, but will direct to relevant information on GOV.UK where possible. 
We look forward to seeing your views and feedback. We do however expect our users to offer us the same level of courtesy that we offer them, so we have a short set of house rules:
All users must comply with the social media platform’s Terms of Use as well as these Terms of Use.
We will remove, in whole or in part, posts that we feel are inappropriate.
We will block, moderate and/or report users who post content we believe to be:
-Abusive or obscene
-Deceptive or misleading
-In violation of any intellectual property rights
-In violation of any law or regulation
-Spam
You are wholly responsible for any content you post including content that you choose to share.
Read more about our social media policy: https://www.gov.uk/government/organisations/cabinet-office/about/social-media-use
 </t>
  </si>
  <si>
    <t>https://facebook.com/UkraineMFA</t>
  </si>
  <si>
    <t>Вітаємо на сторінці МЗС України у Facebook!  / Welcome to the Facebook page of the MFA of Ukraine.</t>
  </si>
  <si>
    <t>https://facebook.com/UkrainianGovernment</t>
  </si>
  <si>
    <t>https://facebook.com/ulkoministerio</t>
  </si>
  <si>
    <t>Merikasarmi, PL 176, Valtioneuvosto, 00023 Helsinki</t>
  </si>
  <si>
    <t>https://facebook.com/uradvlady</t>
  </si>
  <si>
    <t>Oficiální prezentace Úřadu vlády České republiky. Aktuální a důvěryhodné informace pro všechny. http://www.vlada.cz http://twitter.com/strakovka</t>
  </si>
  <si>
    <t>+420 224 002 111</t>
  </si>
  <si>
    <t>https://facebook.com/USAdarFarsi</t>
  </si>
  <si>
    <t>https://facebook.com/usdos</t>
  </si>
  <si>
    <t>https://facebook.com/utanrikisraduneytid</t>
  </si>
  <si>
    <t>10 April 1940</t>
  </si>
  <si>
    <t>+354 5459900</t>
  </si>
  <si>
    <t>https://facebook.com/Utenriksdepartementet</t>
  </si>
  <si>
    <t xml:space="preserve">På denne siden deler vi saker innenfor Utenriksdepartementets fagområder. Vi svarer også på generelle henvendelser. </t>
  </si>
  <si>
    <t>+47 23 95 00 00</t>
  </si>
  <si>
    <t>https://facebook.com/valismin</t>
  </si>
  <si>
    <t xml:space="preserve">Welcome to the page of the Estonian Ministry of Foreign Affairs on Facebook!
Tere tulemast Eesti Vabariigi Välisministeeriumi Facebooki lehele! </t>
  </si>
  <si>
    <t>https://facebook.com/VarelaJC</t>
  </si>
  <si>
    <t>Les damos la cordial bienvenida al punto de encuentro de Juan Carlos Varela.   Participa y comenta en esta comunidad en facebook.</t>
  </si>
  <si>
    <t>Profesión: Presidente de la República de Panamá 
Formación Académica
Estudios: Instituto Tecnológico de Georgia, en Estados Unidos
Carrera: Ingeniero Industrial
Trayectoria Profesional
Desde el año 1985  hasta el 2008  fue  Directivo y Vicepresidente Ejecutivo para el Grupo Varela  Hermanos, S A.</t>
  </si>
  <si>
    <t xml:space="preserve">Con el pasar de los años mantengo la ardua labor de retar los obstáculos presentes y futuros para  cumplir las metas de ofrecer a Panamá una labor política con: optimismo, transparencia, honestidad, responsabilidad; para una nación próspera.
</t>
  </si>
  <si>
    <t>https://facebook.com/Vivian.Balakrishnan.Sg</t>
  </si>
  <si>
    <t xml:space="preserve">Dr Vivian Balakrishnan is Singapore's Minister for Foreign Affairs and MP for Holland-Bukit Timah GRC. </t>
  </si>
  <si>
    <t xml:space="preserve">Dr Vivian Balakrishnan studied Medicine at the National University of Singapore after being awarded the President's Scholarship. 
After graduation, he specialised in Ophthalmology. He was appointed CEO of Singapore General Hospital in 2000 before entering politics. 
Dr Balakrishnan has been a Member of Parliament since 2001.
He is currently the Minister for Foreign Affairs. He is also the Minister-in-charge of the Smart Nation initiative. He previously held appointments such as the Minister for the Environment and Water Resources, Minister for Community Development, Youth and Sports, Second Minister for Trade and Industry, Minister responsible for Entrepreneurship, Second Minister for Information, Communications and the Arts and Minister of State for National Development.
He is married with 4 children. 
Published by and at the direction of Dr Vivian Balakrishnan; Blk 545 Bukit Panjang Ring Road #01-871 Singapore 670545. </t>
  </si>
  <si>
    <t>https://facebook.com/VladaMK</t>
  </si>
  <si>
    <t>https://facebook.com/vladaOCDrs</t>
  </si>
  <si>
    <t xml:space="preserve">Zvanična stranica Kancelarije za saradnju sa civilnim društvom Vlade Republike Srbije www.civilnodrustvo.gov.rs
https://twitter.com/vladaOCDrs 
office@civilnodrustvo.gov.rs
</t>
  </si>
  <si>
    <t xml:space="preserve">Kancelarija za saradnju sa civilnim društvom mоli posetioce stranice da se prilikom ostavlјanja komentara ponašaju u skladu sa osnovnim pravilima komunikacije na internetu i društvenim mrežama.  
Mole se posetioci da izbegavaju pisanje velikim slovima, оbјаvlјuju linkоve i prоmоvišu druge internet stranice. Nepoželјni su svi komentari koji  se ne odnose na temu objave a posebno oni koji mogu da izazovu rasnu, versku i nacionalnu mržnju, netrpelјivost ili diskriminaciju po bilo kom osnovu.   </t>
  </si>
  <si>
    <t xml:space="preserve">Kаncеlаriја zа sаrаdnju sа civilnim društvоm је službа Vlаdе Rеpublikе Srbiје оsnоvаnа je 21. januara 2011. gоdinе („Sl. glаsnik RS“ 26/10, Uredba o Kancelariji za saradnju sa civilnim društvom). Kаncеlаriја оbаvlја stručnе pоslоvе zа pоtrеbе Vlаdе kојi sе оdnоsе nа stаrаnjе о usklаđеnоm dеlоvаnju оrgаnа držаvnе uprаvе i pоdsticаnjе sаrаdnjе оrgаnа držаvnе uprаvе sа udružеnjimа i drugim оrgаnizаciјаmа civilnоg društvа. 
Svојim kоmеntаrimа, pitаnjimа, оbјаvаmа i оbаvеštеnjimа аktivnо učеstvuјеtе u rаdu Kаncеlаriје zа sаrаdnju sа civilnim društvоm nа društvеnој mrеži Fаcеbооk. Svојim prеdlоzimа, kritikаmа i pоhvаlаmа аktivnо učеstvuјеtе i utičеtе nа rаd Kаncеlаriје. 
Nа zvаničnој Fаcеbооk strаnici Kаncеlаriје zа sаrаdnju sа civilnim društvоm mоžеtе dа prоnаđеtе najnovije vеsti i оbаvеštеnjа u vеzi sа rаdоm držаvnе uprаvе kојi је оd znаčаја zа civilnо društvо, kао i infоrmаciје о iniciјаtivаmа, kоnkursimа i prоgrаmimа еvrоpskih i mеđunаrоdnih dоnаtоrа, zаdužbinа i fоndаciја kојe sе оdnоsе nа rаd udružеnја grаđаnа i drugih оrgаnizаciја civilnоg društvа u Rеpublici Srbiji. 
</t>
  </si>
  <si>
    <t>+381 (0)11 311 3859</t>
  </si>
  <si>
    <t>https://facebook.com/vucicaleksandar</t>
  </si>
  <si>
    <t>https://facebook.com/WhiteHouse</t>
  </si>
  <si>
    <t>https://facebook.com/WismaPutra1</t>
  </si>
  <si>
    <t>WismaPutra1</t>
  </si>
  <si>
    <t>Wisma Putra</t>
  </si>
  <si>
    <t xml:space="preserve">This is the Official Facebook Page of KLN Portal. Explore further at http://www.kln.gov.my/ </t>
  </si>
  <si>
    <t>https://www.facebook.com/WismaPutra1/</t>
  </si>
  <si>
    <t>+603-8000 8000</t>
  </si>
  <si>
    <t>Wisma Putra, 62602 No 1 Jalan Wisma Putra, Presint 2</t>
  </si>
  <si>
    <t>https://facebook.com/WitoldWaszczykowski</t>
  </si>
  <si>
    <t xml:space="preserve">Edukacja:
W latach 1976-1980 studiowałem historię na Wydziale Filozoficzno-Historycznym Uniwersytetu Łódzkiego. Po 5 latach uzyskałem tytuł magistra. W 1991 r. studiowałem na Wydziale Stosunków Międzynarodowych University of Oregon. W latach 1992–1993 odbyłem studia podyplomowe na temat bezpieczeństwa międzynarodowego i kontroli zbrojeń w Geneva Centre for Security Policy w Genewie. W 1993 r. obroniłem pracę doktorską z zakresu historii rokowań rozbrojeniowych, a tym samym uzyskałem tytuł doktora nauk humanistycznych.  W 1995 r. uzyskałem certyfikat the Joint Staff Certificate of Completion: Joint Task Force organization during peace operations, a w 2004 r. wziąłem udział w Senior Executive Seminar w Europejskim Centrum Studiów nad Bezpieczeństwem im. George'a Marshalla.
Praca zawodowa:
W latach 1981-1987 byłem asystentem na Wydziale Filozoficzno-Historycznym Uniwersytetu Łódzkiego. Kolejne 2 lata pracowałem jako nauczyciel w jednej z łódzkich szkół podstawowych. W 1988 r. zostałem zmuszony do wyemigrowania z Polski do USA na 3 lata. Po powrocie do kraju w 1992 zostałem starszym ekspertem w Departamencie Systemu Narodów Zjednoczonych MSZ. Rok później zostałem przeniesiony do Departamentu Instytucji Europejskich, gdzie w 1994 r. zostałem radcą, naczelnikiem wydziału sojuszy. Dwa lata później zostałem mianowany na wicedyrektora Departamentu IE, a następnie Departamentu Polityki Bezpieczeństwa. Od 1997 r. pełniłem w Brukseli obowiązki szefa Biura Łącznikowego RP przy NATO, a przez kolejne 2 lata byłem zastępcą Przedstawiciela RP przy NATO. W roku 1999 zostałem mianowany na ambasadora RP w Iranie. Funkcję tę pełniłem przez 3 lata. Następnie pracowałem w Departamencie Strategii i Planowania Polityki Zagranicznej MSZ, a później jako zastępca dyrektora Departamentu Afryki i Bliskiego Wschodu. W latach 2005-2008 zostałem mianowany na Podsekretarza Stanu w MSZ. Wówczas prowadziłem negocjacje w sprawie powstania w Polsce tarczy antyrakietowej. Kolejne 2 lata pełniłem funkcję Zastępcy Szefa Biura Bezpieczeństwa Narodowego. W 2011 r. rozpocząłem pracę jako ekspert w Instytucie Sobieskiego. W tym samym roku zostałem wybrany w okręgu nr 9 na Posła na Sejm VII kadencji z ramienia klubu Prawo i Sprawiedliwość. Oddano na mnie 36854 głosy. W 2015 roku ponownie ubiegałem się o mandat Posła na Sejm RP, tym razem z okręgu nr 11 - Sieradz. Uzyskałam 32 909 głosów. 
Dziękuję moim wyborcom za obdarzenie mnie zaufaniem.
Praca dydaktyczna:
W latach 1981-1987 prowadziłem na Uniwersytecie Łódzkim konwersatoria nt. genezy II wojny  światowej oraz historii zimnej wojny. Po moim powrocie z emigracji (1994-1997) prowadziłem w Akademii Obrony Narodowej, Krajowej Szkole Administracji Publicznej oraz na Uniwersytecie Warszawskim Studium Bezpieczeństwa Narodowego. W tym samym czasie wykładałem na Wyższej Szkole Biznesu w Nowym Sączu takie zajęcia jak: problemy bezpieczeństwa międzynarodowego, Polska polityka bezpieczeństwa, organizacje międzynarodowe oraz polityczno-wojskowe aspekty integracji europejskiej. Od 2002 okazjonalnie wygłaszałem prelekcje na wyżej wymienionych uczelniach. W 2005 r. otrzymałem propozycję poprowadzenia wykładów nt. Podstawy cywilizacji islamu w Wyższej Szkole Handlu i Prawa im. Łazarskiego w Warszawie. Od 2011 do 2014 r. byłem adiunktem w Toruńskiej Szkole Wyższej. Obecnie jestem związany z Akademią Humanistyczno-Ekonomiczną w Łodzi.
</t>
  </si>
  <si>
    <t>https://facebook.com/www.Khamenei.ir</t>
  </si>
  <si>
    <t xml:space="preserve">Follow for regular updates and news about Ayatollah Seyed Ali Khamenei, Iran's Supreme Leader
</t>
  </si>
  <si>
    <t xml:space="preserve">The Ministry of Foreign Affairs of the Federal Republic of Nigeria is committed to using Foreign Policy to support the economic programme of Government in the areas of infrastructural development,  agriculture, power, job and wealth creation. </t>
  </si>
  <si>
    <t>https://facebook.com/www.primature.gov.ml</t>
  </si>
  <si>
    <t>https://facebook.com/www.primature.gov.rw</t>
  </si>
  <si>
    <t xml:space="preserve">The office of the Prime Minister of the Republic of Rwanda </t>
  </si>
  <si>
    <t>https://facebook.com/www.zasag.mn</t>
  </si>
  <si>
    <t>https://facebook.com/wwwvladahr</t>
  </si>
  <si>
    <t xml:space="preserve">Pravila moderiranja sadržaja na ovoj Facebook stranici:
https://vlada.gov.hr/ostalo/drustvene-mreze-vlade-republike-hrvatske/15166
Obzirom da je Facebook aplikacija koja nije u vlasništvu Vlade Republike Hrvatske, svi korisnici podliježu pravilima ove društvene mreže. Pravila kojima Facebook automatizmom uklanja uzastopno postavljane objave u svojoj mreži, a u bilo kojem dijelu svijeta, možete pročitati na https://www.facebook.com/legal/terms i https://www.facebook.com/policies/, a podliježu zakonima Države Kalifornije i sudova okruga Santa Clara, Kalifornija. Facebook je jedna od najvećih društvenih mreža na svijetu, sa sjedištem u Menlo Parku, Kalifornija, SAD. Trenutno broji više od milijarde aktivnih korisnika i ima 11 vlasnika.
</t>
  </si>
  <si>
    <t>https://facebook.com/Xavier-Bettel-76714151717</t>
  </si>
  <si>
    <t>http://www.gouvernement.lu/3305444/CV</t>
  </si>
  <si>
    <t>July 26, 1847</t>
  </si>
  <si>
    <t xml:space="preserve">O governo assecivel a todos
</t>
  </si>
  <si>
    <t>KvirikashviliOfficial</t>
  </si>
  <si>
    <t xml:space="preserve">www.lrv.lt </t>
  </si>
  <si>
    <t xml:space="preserve">Dès la naissance de la Ve République, le texte constitutionnel a consacré la diversité des rôles et des prérogatives du Premier ministre. Son intervention se situe à tous les niveaux de l’action gouvernementale : nomination des membres de l’équipe gouvernementale, définition des objectifs, impulsion, coordination, prise de décision, suivi de l’exécution de la politique gouvernementale. Politiquement, le Premier ministre incarne aux yeux de tous l’action collective du gouvernement.
</t>
  </si>
  <si>
    <t xml:space="preserve">L'utilisation et la navigation sur la page Facebook de Matignon doivent respecter les lois et règlements en vigueur. Nous vous rappelons que l'ensemble des lois et règlements en vigueur est applicable sur internet. Notre équipe se réserve la possibilité de supprimer toutes les publications inappropriées, contraires aux bonnes mœurs, à l'ordre public, ou aux lois et réglementations en vigueur. </t>
  </si>
  <si>
    <t>+ 960 3323400</t>
  </si>
  <si>
    <t>حكومة الوفاق الوطني- ليبيا</t>
  </si>
  <si>
    <t>الصفحة الرسمية الخاصة بحكومة الوفاق الوطني</t>
  </si>
  <si>
    <t>حكومة الوفاق الوطني-ليبيا official libyan government page</t>
  </si>
  <si>
    <t>Predsjednik Republike Hrvatske je državni poglavar Republike Hrvatske. Ovlasti i dužnosti su mu ograničeni Ustavom Republike Hrvatske. Mandat predsjedniku Republike traje pet godina i na tu dužnost može biti izabran najviše dva puta.
Predsjednik Republike Hrvatske predstavlja i zastupa Repub­liku Hrvatsku u zemlji i inozemstvu, brine se za redovito i usklađeno djelovanje te za stabilnost državne vlasti. Predsjednik Republike kao vrhovni zapovjednik oružanih snaga RH odgovara za obranu neovisnosti i teritorijalne cjelovitosti Republike Hrvatske.
Predsjednička dužnost nespojiva je s bilo kojom javnom ili profesionalnom dužnosti. Predsjednik Republike također ne smije biti članom političke stranke, odnosno po stupanju na dužnost, podnosi ostavku na stranačke dužnosti te o tomu obavještava Hrvatski sabor.</t>
  </si>
  <si>
    <t>Prije preuzimanja dužnosti, Predsjednik Republike pred predsjednikom i sucima Ustavnog suda Republike Hrvatske polaže svečanu prisegu kojom se obvezuje na vjernost Ustavu. Tekst svečane prisege utvrđen je Zakonom 1997. godine:
"Prisežem svojom čašću da ću dužnost predsjednika Republike Hrvatske obavljati savjesno i odgovorno, na dobrobit hrvatskog naroda i svih hrvatskih državljana.
Kao hrvatski državni poglavar:
- držat ću se Ustava i zakona,
- brinuti se za poštovanje ustavnopravnog poretka Republike Hrvatske,
- bdjeti nad urednim i pravednim djelovanjem svih tijela državne vlasti,
- čuvati nezavisnost, opstojnost i jedinstvenost države Hrvatske.
Tako mi Bog pomogao."
Ovlasti predsjednika Republike su:
- predstavlja Republiku Hrvatsku u domovini i inozemstvu
- brine se za redovito usklađeno djelovanje te za stabilnost državne vlasti
- odgovara za obranu neovisnosti i teritorijalne cjelovitosti RH
- raspisuje izbore za Hrvatski sabor i saziva ga na prvo zasje­danje
- raspisuje referendum u skladu s Ustavom - može na prijedlog Vlade i uz supotpis predsjednika Vlade raspisati referendum o prijedlogu promjene Ustava ili o drugom pitanju za koje drži da je važno za neovisnost, jedinstvenost i opstojnost Republike Hrvatske
- povjerava mandat za sastavljanje Vlade osobi koja, na temelju raspodjele zastupničkih mjesta u Hrvatskom saboru i obavljenih konzultacija, uživa povjerenje većine svih zastupnika
- daje pomilovanja
- dodjeljuje odlikovanja i priznanja određena zakonom
- obavlja druge poslove u skladu sa Ustavom</t>
  </si>
  <si>
    <t>+385 1 4565 191</t>
  </si>
  <si>
    <t>Predsjednik Republike Hrvatske je Ivo Josipović.
Bivši predsjednik Republike Hrvatske Stjepan Mesić.
Prvi predsjednik Republike Hrvatske dr. Franjo Tuđman.</t>
  </si>
  <si>
    <t>https://facebook.com/emansionliberia</t>
  </si>
  <si>
    <t>https://facebook.com/GOSS-Government-of-Southern-Sudan-292935125286</t>
  </si>
  <si>
    <t>https://facebook.com/Gouvernement-de-la-R%C3%A9publique-du-Burundi-1006449296051502</t>
  </si>
  <si>
    <t>https://facebook.com/Governo-de-Portugal-548265471873786</t>
  </si>
  <si>
    <t>https://facebook.com/govgr</t>
  </si>
  <si>
    <t>https://facebook.com/ured.predsjednika.rh</t>
  </si>
  <si>
    <t>https://facebook.com/JOMAV-José-Mario-Vaz-Président-797477746936993</t>
  </si>
  <si>
    <t>https://facebook.com/KMassimovE</t>
  </si>
  <si>
    <t>https://facebook.com/LR-Vyriausybė-77276644149</t>
  </si>
  <si>
    <t>https://facebook.com/KvirikashviliOfficial</t>
  </si>
  <si>
    <t>https://facebook.com/matignon.fr</t>
  </si>
  <si>
    <t>https://facebook.com/Ministry-of-Foreign-Affairs-Maldives-434954336556544</t>
  </si>
  <si>
    <t>https://facebook.com/mofapk</t>
  </si>
  <si>
    <t>https://facebook.com/pm.gov.ly</t>
  </si>
  <si>
    <t>https://facebook.com/Primature-de-la-Republique-du-Tchad-119987794693584</t>
  </si>
  <si>
    <t>https://facebook.com/Prime-Minister-office-of-Mongolia-135047926675334</t>
  </si>
  <si>
    <t>https://facebook.com/SAIBABABUHARI</t>
  </si>
  <si>
    <t>https://facebook.com/10downingstreet</t>
  </si>
  <si>
    <t>Emir Tamim bin Hamad Al Thani</t>
  </si>
  <si>
    <t>Likes</t>
  </si>
  <si>
    <t>President Hilda Heine</t>
  </si>
  <si>
    <t>António Costa</t>
  </si>
  <si>
    <t>http://www.dirco.gov.za</t>
  </si>
  <si>
    <t>http://www.mfa.gov.jo</t>
  </si>
  <si>
    <t>http://www.pmo.gov.my</t>
  </si>
  <si>
    <t>국무총리실</t>
  </si>
  <si>
    <t>State House Freetown</t>
  </si>
  <si>
    <t>http://www.statehouse.gov.sl</t>
  </si>
  <si>
    <t>http://www.votealpha2015.com</t>
  </si>
  <si>
    <t>President Roch Marc Christian Kaboré</t>
  </si>
  <si>
    <t>Ayatollah Khamenei</t>
  </si>
  <si>
    <t>Kmassimov</t>
  </si>
  <si>
    <t>LatvianMFA</t>
  </si>
  <si>
    <t>GIS Dominica</t>
  </si>
  <si>
    <t>CancilleriaEcuador</t>
  </si>
  <si>
    <t>President John Magufuli</t>
  </si>
  <si>
    <t>President Abdel Fattah el-Sisi</t>
  </si>
  <si>
    <t>Prime Minister Xavier Bettel</t>
  </si>
  <si>
    <t>votealpha2015</t>
  </si>
  <si>
    <t>Prime Minister Pavel Filip</t>
  </si>
  <si>
    <t>President Hashim Thaçi</t>
  </si>
  <si>
    <t>President Patrice Talon</t>
  </si>
  <si>
    <t>gouvbenin</t>
  </si>
  <si>
    <t>PresidentAlphaCondeGuinee</t>
  </si>
  <si>
    <t>https://facebook.com/GISNewsDominica</t>
  </si>
  <si>
    <t>https://facebook.com/PresidentAlphaCondeGuinee</t>
  </si>
  <si>
    <t>https://facebook.com/rochkabore15</t>
  </si>
  <si>
    <t>https://facebook.com/StateHouseMw</t>
  </si>
  <si>
    <t>CancilleriaARG</t>
  </si>
  <si>
    <t>Foreign Minister Ibrahim al-Jaafari</t>
  </si>
  <si>
    <t>https://facebook.com/prensapalacio</t>
  </si>
  <si>
    <t>iGABahrain</t>
  </si>
  <si>
    <t>https://facebook.com/MinistryOfForeignAffairsOfVietnam</t>
  </si>
  <si>
    <t>Prime Minister Andrew Holness</t>
  </si>
  <si>
    <t>AndrewHolnessJM</t>
  </si>
  <si>
    <t>https://facebook.com/AndrewHolnessJM</t>
  </si>
  <si>
    <t>https://facebook.com/MahamadouIssoufoupresident</t>
  </si>
  <si>
    <t>MaltaGov</t>
  </si>
  <si>
    <t>Andrew Holness</t>
  </si>
  <si>
    <t>Lilongwe, Malawi</t>
  </si>
  <si>
    <t>Pavel Filip</t>
  </si>
  <si>
    <t>Giorgi Kvirikashvili</t>
  </si>
  <si>
    <t>Patrice Talon</t>
  </si>
  <si>
    <t>Oficjalny profil Kancelarii Prezesa Rady Ministrów.</t>
  </si>
  <si>
    <t>Prensa Palacio</t>
  </si>
  <si>
    <t>Bidhya Devi Bhandari</t>
  </si>
  <si>
    <t>Sultan Hassanal Bolkiah</t>
  </si>
  <si>
    <t>Prime Minister Frank Bainimarama</t>
  </si>
  <si>
    <t>President Bidhya Devi Bhandari</t>
  </si>
  <si>
    <t>President Alpha Condé</t>
  </si>
  <si>
    <t>MichelTemer</t>
  </si>
  <si>
    <t>Evo Morales Ayma</t>
  </si>
  <si>
    <t>Michel Temer</t>
  </si>
  <si>
    <t>Government of Pakistan</t>
  </si>
  <si>
    <t>Ministerie van Buitenlandse Zaken</t>
  </si>
  <si>
    <t>Vlada Republike Slovenije</t>
  </si>
  <si>
    <t>http://www.syriza.gr</t>
  </si>
  <si>
    <t>http://www.liberal.ca</t>
  </si>
  <si>
    <t>Twitter: https://twitter.com/justintrudeau
Instagram:
http://instagram.com/justinpjtrudeau/</t>
  </si>
  <si>
    <t>Official Facebook page of Ashraf Ghani, President of Islamic Republic of Afghanistan.
Twitter: @ashrafghani
Instagram: @ashrafghani.af</t>
  </si>
  <si>
    <t>Denne side føres som formand for Venstre. Henvendelser til mig som statsminister rettes til stm@stm.dk
Siden modereres jf. http://venst.re/1TwaTr1</t>
  </si>
  <si>
    <t>https://www.facebook.com/Didier-Reynders-66985740526/</t>
  </si>
  <si>
    <t>Utenriksdepartementet (Norge)</t>
  </si>
  <si>
    <t xml:space="preserve">We welcome constructive feedback and discussions on issues. Postings which are offensive, irrelevant or breach Facebook Terms of Service will be removed. Users who breach the above-mentioned may also be banned from this Page. Third party content posted on the page are not reflective or endorsed by the Gov.sg team. </t>
  </si>
  <si>
    <t>http://www.juanmanuelsantos.com</t>
  </si>
  <si>
    <t>MahamadouIssoufoupresident</t>
  </si>
  <si>
    <t>Bienvenue sur la page officielle du Président de la République du Niger.</t>
  </si>
  <si>
    <t>Portrait de ELHADJ MAHAMADOU ISSOUFOU
Candidat du PNDS-Tarayya aux élections présidentielles du 31 janvier 2011
Elhadj Mahamadou Issoufou, le candidat du PNDS – TARAYYA aux élections présidentielles du 31 janvier 2011 n’est pas véritablement à présenter. 
Né en 1952 à Dandadji dans le département d’Illéla (Région de Tahoua), Elhadj Mahamadou Issoufou est marié et père de quatre enfants. C’est un homme profondément attaché aux valeurs qui fondent la société nigérienne. Ingénieur des mines, à la carrière professionnelle réussie, c’est aussi un homme politique de principe, d’expérience et de grande vertu.
Un parcours scolaire exemplaire
Après des brillantes études primaire et secondaire, Elhadj Mahamadou Issoufou, nanti d’un baccalauréat série C, fréquente de 1971 à 1973, le Centre d’Enseignement Supérieur de Niamey où il obtient son DUES (Diplôme Universitaire d’Etudes Scientifiques) option Mathématique et Physique. 
Puis, il fréquente l’Université de Niamey de 1974 à 1975, où il décroche sa Licence de Mathématiques. Il poursuivra ensuite ses études à l’Université des Sciences et Techniques du Languedoc de Montpellier (France) de 1975 à 1976 (obtention de la Maîtrise de Mathématiques et Applications Fondamentales); à l’Université de Paris VI de 1976 à 1977 (cours d’Etudes Approfondies de Probabilité et Statistique) et à l’Ecole Nationale Supérieure des Mines de Saint-Étienne (France) de 1977 à 1979 d’où il sort avec le Diplôme d’Ingénieur Civil des Mines.
Une carrière professionnelle réussie
De retour au Niger après ses études, Elhadj Mahamadou Issoufou se met au service de son pays. Il est nommé Directeur des mines au Ministère des Mines et de l’Industrie de 1980 à 1985. 
Mis en position de détachement auprès de la Société des Mines de l’Aïr (SOMAÏR) pour compter du 1er mars 1985, il occupe plusieurs postes de responsabilité au sein de cette institution : Secrétaire Général (1985 – 1986), Directeur des Exploitations (1986 – 1991) et Directeur Technique (1991-1992).
Un homme à l’écoute de ses concitoyens
Sincère, courtois, ouvert et généreux, Elhadj Mahamadou Issoufou est également fidèle dans ses amitiés. Fin connaisseur de la société nigérienne, sa porte est toujours ouverte. Il est également l’un des rares hommes politiques à se rendre fréquemment dans le Niger profond, parcourant des milliers de villages pour s’enquérir des conditions de vie de ses concitoyens, être à leur écoute et recueillir leurs préoccupations.
Un meneur d’hommes incontesté
Aujourd’hui, si le PNDS-TARAYYA est une grande force politique sur l’échiquier politique nigérien, c’est parce que Elhadj Mahamadou Issoufou, grand meneur d’hommes, a su lui impulser la dynamique nécessaire.
De 13 députés en 1993, le PNDS est passé à 25 (dont 2 sur liste commune avec le PPN-RDA et le PNA-Al’Ouma) en 2004. Les idéaux qu’incarne le parti et les valeurs portées et défendues par ses dirigeants, en particulier son président expliquent cette progression et dénotent l’adhésion massive et croissante des populations nigériennes au PNDS- Tarayya.
Un dirigeant courageux, un patriote convaincu
Homme de principes et de convictions, Elhadj Mahamadou Issoufou est intègre et loyal. L’esprit de droiture qui l’anime est incontestable au point d’être souvent perçu comme un manque de flexibilité par certains de ses détracteurs. Son charisme et sa hauteur de vue sur les grandes questions nationales ; son sens de responsabilités, sa noble vision de l’Etat ont fait de lui une personnalité qui force l’admiration et le respect.
Celui que ses militants appellent affectueusement "Zaki", ("lion" en langue haoussa) est aussi un homme brave et courageux. Les Nigériens ont encore en mémoire son retour héroïque et l’accueil triomphal que lui a réservé la population de Niamey suite au mandat d’arrêt international injustement lancé contre sa personne pendant qu’il était à l’extérieur par le régime de Tandja Mamadou. «Je n’ai d’autre patrie que le Niger !», affirma-t-il en patriote convaincu. 
Aussi, les longues années d’opposition n’ont guère affecté sa détermination à lutter contre les maux qui gangrènent la société nigérienne : corruption, mauvaise gouvernance …
Un acteur majeur de la vie démocratique nigérienne
Du 29 juillet au 03 novembre 1991, Elhadj Mahamadou Issoufou participe activement avec d’autres camarades du parti aux travaux de la conférence nationale souveraine du Niger. Et depuis son visage, sa silhouette et ses prises de position justes et éclairées font partie de la vie des Nigériens. 
Elu plusieurs fois député national et candidat du PNDS-Tarayya aux élections présidentielles, Elhadj Mahamadou Issoufou a occupé des hautes responsabilités politiques : Premier ministre, Président de l’Assemblée Nationale. Il a été également membre du groupe d’amitié (Zone Amérique et Zone Europe).
Après les élections présidentielles controversées de 1996 et face aux violations répétées des droits de l’homme et à la remise en cause des acquis démocratiques dans le pays, Elhadj Mahamadou Issoufou s’engage dans la lutte en créant avec d’autres leaders, le Front pour la Restauration et la Défense de la Démocratie (FRDD). 
Aux élections présidentielles de 1999 et 2004, Elhadj Mahamadou Issoufou arrive au 2ème Tour. Pendant ces 2 mandat, il est chef de file de l’opposition, au régime du Président Tandja Mamadou, réunie au sein de la Coordination des Forces Démocratiques (CFD). Il est membre fondateur du FDD (Front pour la Défense de la Démocratie), puis de la CFDR (Coordination des Forces pour la Démocratie et la République) en vue de lutter contre le "Tazarcthé" ou prolongation illégale du mandat de Mamadou Tandja. 
Un Président pour la renaissance du Niger
El hadj Mahamadou Issoufou, cet homme pétri de grande expérience politique, de qualités humaines reconnues de tous et jouissant d’une grande réputation à l’extérieur est assurément le meilleur candidat aux présidentielles du 31 janvier 2011 pour la renaissance du Niger.</t>
  </si>
  <si>
    <t>https://www.facebook.com/MahamadouIssoufoupresident/</t>
  </si>
  <si>
    <t>PNDS Tarayya</t>
  </si>
  <si>
    <t>Palais de la Présidence de la Republique, 10000 Niamey, Niger</t>
  </si>
  <si>
    <t>http://www.samdechhunsen.gov.kh</t>
  </si>
  <si>
    <t xml:space="preserve">(i) Personal Information
Born on August 5, 1952 (officially on April 4th, 1951) in Peam Koh Sna Commune, Stoeung Trang District of Kampong Cham Province, upon completion of his local primary schooling, in 1965 Hun Sen came to Phnom Penh to continue his secondary education in the Lycée Indra Devi. He resided in Neakavoan Pagoda.
In 1970 Cambodia was plunged into war. Responding to the appeal of Prince Sihanouk to Cambodians to join the war against the imperialists, at the age of 18, Hun Sen joined the struggle movement, which liberated the country on April 17, 1975.
One day before the victory, on April 16, 1975, Hun Sen was wounded in the left eye. Recovered from months of treatment, on January 5, 1976, he married Bun Rany. They have six children – 1) Hun Komsot (November 10, 1976 – deceased), 2) Hun Manet (October 20, 1977), 3) Hun Mana (September 15, 1980), 4) Hun Manit (October 17, 1981), 5) Hun Mani (November 27, 1982) and 6) Hun Mali (December 30, 1983).
(ii) Political Careers
Witnessing the Pol Pot regime’s policy of genocide, in 1977 he left his beloved family again to lead a movement aimed at liberating Cambodia and its people from the genocidal regime. In 1978, Hun Sen became a founding member of the United Front for the National Salvation of Kampuchea (UFNSK). In collaboration with other patriotic movements and with the support of Vietnamese volunteer forces, on January 7, 1979, the UFNSK rescued Cambodia and its people from the genocidal regime of Democratic Kampuchea.
From 1979 to 1993, Hun Sen held various positions in the Cambodian administrations – the People’s Republic of Kampuchea and then the State of Cambodia. As Foreign Minister in 1979, as Deputy Prime Minister and Foreign Minister from 1981 to 1985, and then as Prime Minister and Foreign Minister from 1985 to 1991, Hun Sen brought about several remarkable achievements, laying the basis for the implementation of peace, national reconciliation, and the  development of Cambodia. Through his willing contribution and efforts, Hun Sen proved an indispensable architect of the Paris Peace Agreement on Cambodia.
As a result of the implementation of the Agreement and the 1993 national elections, from 1993 to 1998 Hun Sen served Cambodia as the Co-Premier and then the second Prime Minister of the first coalition government. In this position, he again proved to be an earnest defender of national achievements and of the Paris Peace Agreement. His achievements in this period included fulfilling commitments to the improvement of rural roads, schools, dispensaries and healthcare centers, and access to clean water, while carrying out the win-win policy which ends the Khmer Rouge’s threat and unifies Cambodia.
In July 1998, the general election brought victory to the Cambodian People’s Party, of which Hun Sen is the Vice President. He became the sole Prime Minister of the Kingdom of Cambodia, leading the second coalition government of the two major parties – the CPP and FUNCINPEC – and solemnly declared his Government to be an “economy-oriented government.” Under his leadership Cambodia became the 10th member of the Association of South-East Asian Nations (ASEAN).
Samdech Hun Sen, as the candidate of the Cambodian People’s Party for the post of Prime Minister, again led the CPP to a victory in the July-2003 general elections. After eleven months of political difficulties, once more he succeeded in forming a coalition with FUNCINPEC. On July 15, 2004, under a new law allowing for a package vote, the National Assembly re-elected him as Prime Minister, and ratified the third-term coalition Government between the Cambodian People’s Party and FUNCINPEC.
On July 16, 2004, in his capacity as the Prime Minister of the Royal Government in the third legislature of the National Assembly, Samdech Hun Sen declares the Royal Government’s “Rectangular Strategy” for Growth, Employment, Equity and Efficiency – in addition to the Triangular Strategy put out in the previous term.
On November 23, 2005, the CPP Congress issued its resolution to unanimously nominate its Vice President Samdech Hun Sen as the candidate for the post of Prime Minister for the fourth legislature of the National Assembly.
On September 25, 2008, after winning the general elections of July 27, 2008 in which the Cambodian People’s Party won 90 from the 123 seats in the National Assembly, Samdech Akka Moha Sena Padei Techo Hun Sen has been re-elected by the Fourth Legislature of the National Assembly and approved by HM the King, Preah Karuna Preah Bat Sâmdech Preah Bâromneath Norodom Sihamoni, as Prime Minister for the next five-year term (2008-2013).
On September 23, 2013, Samdech Techo Hun Sen is re-elected by the Fifth Legislature of the National Assembly and approved by HM the King, Preah Karuna Preah Bat Sâmdech Preah Bâromneath Norodom Sihamoni, as Prime Minister for the next five-year term (2013-2018). In the 28 July 2013 general elections, the Cambodian People’s Party won a majority of 68 seats in the 123-seat National Assembly.
On 20 June 2015, the 38th Congress of the Cambodian People’s Party (CPP) Central Committee of the fifth mandate elected Samdech Akka Moha Sena Padei Techo Hun Sen directly and in secret ballots as its President in replacement of the late Samdech Akka Moha Thamma Pothisal Chea Sim.
(iii) Education Achievements, Titles, Awards and Medals
For his great efforts and contributions to national reconciliation, peace, and the socio-economic development of Cambodia, Hun Sen is awarded the title of “Samdech” by His Majesty the King Samdech Preah Norodom Sihanouk.
He has a B.A. in Politics from the Cambodian Tertiary Education, a Ph.D. in Political Science from the National Political Academy in Hanoi (1991), and two Honorary Doctorates — a Ph. D. in Politics from the Southern California University for Professional Studies, USA (1995), and a Ph.D. of Law from IOWA Wesleyan College, USA (1996).
On December 02, 1996 the World Peace Academy presented Samdech Hun Sen with the World Peace Award. As the sixth person, and the first in South Asia, to attain this honorable award, the Academy conferred three titles on Samdech Hun Sen — 1) the Human Cultural Asset, 2) the Roving Ambassador for Peace, and 3) the World Peace Congressman.
On April 10, 2001 in Seoul, the Awarding Committee of Graduate School of Dankook University in South Korea bestowed the Honorary Doctorate in Political Sciences upon Prime Minister Samdech Hun Sen in recognition of contributions to the recovery of peace and stability in Cambodia, the improvement of diplomatic relations between Cambodia and the Republic of Korea, and his efforts towards East-Asian cooperation.
On November 15, 2001 Samdech Hun Sen was bestowed with the Honorary Doctorate Degree of Political Science (Honoris Causa) in the field of Foreign Relations from the University of Ramkhamhaeng, Thailand.
On December 22, 2001 Sri Chinmoy of the International Peace Center presented Samdech Hun Sen with “Lifting Up the World with a Oneness-Heart” Award. It was presented in recognition of achievements scored by Samdech Hun Sen both in quantitative and qualitative terms. Sri Chinmoy refers to Samdech Hun Sen as an instrument selected by the Lord Buddha to save millions of people of Cambodia from deaths, to provide them with education, food and shelters, to build them schools, hospitals and water canals, and to lead Cambodia into ASEAN.
On August 6, 2002 Samdech Hun Sen was admitted as a member of the Academy of Natural Sciences of the Russian Federation and was conferred with a medal in recognition of his leadership in bringing peace, stability and socio-economic development for Cambodia.
On September 04, 2002 the Committee of ASEAN Engineering Federation (AFF) presented Samdech Hun Sen with the title of “ASEAN Distinguished Honorary Fellow Member” — the AEF’s highest honorary title and the first one ever presented. This is to recognize his national consciousness and leadership ability in ending civil war, carrying all-field rehabilitation and development, and giving opportunity to Cambodian engineers to take part in the process of national reconstruction and development.
On April 10, 2004 the governors and the senate of the Irish International University of the European Union confer the Honorary Degree of Doctor of Philosophy in Political Science upon Samdech Hun Sen in recognition of his contributions and achievement, and honor Samdech with the Medal of Excellence 2004.
On July 09, 2004 in recognition of his contribution to and achievements in the defense, construction and development of Cambodia, his proven leadership with advanced political sciences, of reforms in all fields, especially in high education, and in maintaining the national reconciliation, stability, peace and regional integration, the University of Cambodia grants Samdech Hun Sen the Honorary Doctorate Degree in Political Sciences.
On September 15, 2004 Samdech Hun Sen has been accepted and sworn in as a member of the Bar Association of Cambodia.
On September 06, 2005 once again, in deepest admiration for Samdech Hun Sen’s tireless service for the progress of Cambodia and the entire ASEAN nations, Sri Chinmoy Centers International presented Samdech with its highest award — the U Thant Peace Award.
On March 21, 2006 during the official visit to the Republic of Korea, the Soon Chun Hyang University in Seoul conferred Samdech Hun Sen an Honorary Doctor of Philosophy in Political Science to signify his leading contribution in the reconstruction of and devoting physical and spiritual efforts for peace and prosperity in Cambodia and South East Asia as a whole, and particularly in promoting friendly relations with the Republic of Korea.
*** More info about PM Hun Sen Bio at www.samdechhunsen.gov.kh </t>
  </si>
  <si>
    <t>Government Peace Building, 855 No. 38, Confederation Russia Blvd (110), Phnom Penh, Cambodia</t>
  </si>
  <si>
    <t>대한민국 외교부</t>
  </si>
  <si>
    <t>http://www.mfa.gr</t>
  </si>
  <si>
    <t xml:space="preserve">Στη σελίδα του Υπουργείου Εξωτερικών θα βρείτε ειδήσεις για την ελληνική εξωτερική πολιτική, το Υπουργείο Εξωτερικών, τις Αρχές Εξωτερικού (πρεσβείες, προξενεία και Μόνιμες Αντιπροσωπείες) καθώς και επιλογή ειδήσεων από την Ελλάδα. Μπορείτε επίσης να ακολουθήσετε το Υπουργείο Εξωτερικών εδώ:
http://twitter.com/greecemfa
http://www.flickr.com/photos/greecemfa
http://www.youtube.com/user/greecemfa
</t>
  </si>
  <si>
    <t xml:space="preserve">Όροι Χρήσης
H διαχείριση της σελίδας Facebook του Υπουργείου Εξωτερικών γίνεται από την Υπηρεσία Ενημέρωσης και Δημόσιας Διπλωματίας. 
Μεταξύ άλλων, δημοσιεύονται ειδήσεις για την ελληνική εξωτερική πολιτική, το Υπουργείο Εξωτερικών, τις Αρχές Εξωτερικού, καθώς και επιλογή ειδήσεων από την Ελλάδα.
Οι πληροφορίες που περιέχονται στις ιστοσελίδες, στις οποίες παραπέμπουμε μέσω συνδέσμων στην σελίδα μας, καθώς και οι απόψεις και τα σχόλια που διατυπώνονται σε αυτές έχουν αποκλειστικά ενημερωτικό χαρακτήρα και δεν αντανακλούν απαραίτητα τις απόψεις μας.
Επιπλέον, η Υπηρεσία Ενημέρωσης και Δημόσιας Διπλωματίας προβαίνει μεν, με την εύλογη επιμέλεια και προσοχή, σε δημοσιεύσεις στη σελίδα της, εντούτοις δεν εγγυάται την αξιοπιστία, την ακρίβεια, τον επίκαιρο χαρακτήρα και την πληρότητα των πληροφοριών που εμπεριέχονται στις ιστοσελίδες αυτές (“shared pages &amp; links”).
Σε καμία περίπτωση δεν πρέπει να θεωρηθεί ότι το Υπουργείο Εξωτερικών ενστερνίζεται ή αποδέχεται το περιεχόμενο, τα προϊόντα ή τις υπηρεσίες των ιστοσελίδων στις οποίες παραπέμπει.
Η σελίδα του Υπουργείου Εξωτερικών στο Facebook δεν διατίθεται για την προώθηση ή τη διαφήμιση επιχειρήσεων, ούτε γενικότερα για σκοπούς εμπορικής εκμετάλλευσης.
Το Υπουργείο Εξωτερικών ενθαρρύνει την άμεση και διαφανή ανταλλαγή απόψεων. Παρ’ όλα αυτά ο διαχειριστής της σελίδας διατηρεί τη διακριτική ευχέρεια δημοσίευσης, ή μη, σχολίων που παραβιάζουν τους όρους χρήσης. 
Προκειμένου η ανταλλαγή απόψεων και πληροφοριών να είναι εποικοδομητική παρακαλείσθε να υιοθετήσετε ορισμένους απλούς κανόνες ευγένειας:
H έκφραση διαφωνίας δεν μπορεί να εμπεριέχει προσωπικές επιθέσεις και εξυβρίσεις. Κατά συνέπεια, θα διαγράφονται σχόλια με περιεχόμενο: 1) υβριστικό, πορνογραφικό, προσβλητικό για συγκεκριμένες ομάδες με βάση την εθνοτική/φυλετική τους προέλευση, τις θρησκευτικές τους πεποιθήσεις, το φύλο, τον σεξουαλικό προσανατολισμό κ.λπ., 2) που προάγει τη βία και τον ρατσισμό, 3) που παραβιάζει τη νομοθεσία περί πνευματικής ιδιοκτησίας, 4) τύπου “spam”, δηλαδή μηνύματα με περιεχόμενο εμφανώς άσχετο προς το θέμα ή προωθητικά υπηρεσιών και προϊόντων, 5) που έχουν σκοπό να δημιουργήσουν αρνητικό/ επιθετικό κλίμα μεταξύ των επισκεπτών μας (flaming).
Το Υπουργείο Εξωτερικών δεν θα προβαίνει σε επεξεργασία των σχολίων σας.
Το Υπουργείο Εξωτερικών ουδεμία ευθύνη φέρει για σχόλια και απόψεις, που δεν αναρτώνται από το ίδιο, ούτε για τυχόν προσβολή, που μπορεί να προκαλούν σε τρίτους. Κατά συνέπεια δεν επιτρέπεται η αναπαραγωγή σχετικών σχολίων ή απόψεων κατά τρόπο που να υπονοεί ότι το περιεχόμενό τους αντανακλά τις απόψεις του Υπουργείου.
Δεν δεσμευόμαστε να απαντάμε σε άτομα που παραβιάζουν κατ’ εξακολούθηση τους όρους χρήσης, στα οποία διατηρούμε το δικαίωμα να απαγορεύουμε την πρόσβαση στην σελίδα μας επ’ αόριστον.
Επιτρέπεται η αναδημοσίευση περιεχομένου της σελίδας μας είτε μέσω της διαδικασίας “share”, όπου ειδικά δίνεται τέτοια δυνατότητα, είτε μέσω ενσωμάτωσης (embed) περιεχομένου σε προσωπικές ιστοσελίδες, υπό την προϋπόθεση ότι αυτά δεν θα αλλοιωθούν, τροποποιηθούν ή μεταβληθούν κατά τρόπο που αντιβαίνει στους σκοπούς δημοσίευσής τους.
Η παρούσα ιστοσελίδα διέπεται επίσης από τους κανόνες περί πολιτικής απορρήτου του Facebook.
Το Υπουργείο Εξωτερικών διατηρεί το δικαίωμα να επικαιροποιεί ή να μεταβάλλει την παρούσα πολιτική χρήσης της σελίδας στο Facebook ανά πάσα στιγμή και χωρίς προειδοποίηση.
Terms of Use
The Foreign Ministry’s Facebook page is administrated by the Information and Public Diplomacy Department.
Published items include, among other things, news about Greek foreign policy, the Foreign Ministry and Missions Abroad, as well as a selection of news items regarding Greece.
The information contained on the webpages to which we refer via links on our page, as well as the views and comments expressed thereon, is of an exclusively informative nature and does not necessarily reflect our views.
Moreover, while the Information and Public Diplomacy Department does proceed to publications on its own page with due diligence and care, this, however, does not guarantee the reliability, accuracy, validity or comprehensiveness of the information contained on shared pages &amp; links.   
In no case must the Foreign Ministry be considered to espouse or accept the content, products or services of the webpages to which it is linked.
The Foreign Ministry’s Facebook page is not available for the promotion or advertising of businesses or, more generally, for the purposes of commercial exploitation.
The Foreign Ministry encourages direct and transparent exchange of views. Nevertheless, the administrator of the page retains discretion as to publication or not of comments that violate the terms of use.
So that exchange of views and information can be constructive, we ask that you adopt certain simple rules of propriety: 
Expression of disagreement may not contain personal attacks or verbal abuse. Consequently, comments with content that
1. is verbally abusive, pornographic, insulting to specific groups based on ethnic/racial origin, religious convictions, gender, sexual orientation, etc.,
2. promotes violence or racism,
3. violates intellectual property legislation,
4. is in the nature of “spam”; that is, messages with content that is obviously unrelated to the issue or that promotes services or products,
5. is aimed at creating a negative/hostile climate among our visitors (flaming),
will be deleted.
The Foreign Ministry will not alter your comments in any way.
The Foreign Ministry bears no responsibility for comments or views that are not posted by the Ministry itself, or for any insult that may be caused to third parties. Consequently, the reproduction of relevant comments or views in a manner that suggests that their content reflects the Ministry’s views is prohibited.
We make no commitment to respond to persons who repeatedly violate the terms of use, whom we reserve the right to prohibit from accessing our page indefinitely.
Republication of the content of our page is permitted via the “share” process, where such potential is provided, or via embedding of content on personal webpages, on the condition that the content in question is not altered or amended in any way that conflicts with the purposes of its publication.
The present webpage is also governed by the Facebook privacy policy. 
The Foreign Ministry retains the right to update or alter the present Facebook-page use policy at any time and without prior notification.
</t>
  </si>
  <si>
    <t>Αποστολή του Υπουργείου Εξωτερικών είναι η άσκηση της εξωτερικής πολιτικής της χώρας, η οποία περιλαμβάνει τα θέματα που αφορούν στις διεθνείς σχέσεις, τη διεθνή συνεργασία και τη διεθνή πολιτική της χώρας, τη διεθνή εκπροσώπησή της, την προάσπιση των ελληνικών συμφερόντων στο εξωτερικό καθώς και την ενίσχυση της διεθνούς νομιμότητας.
The Ministry of Foreign Affairs conducts the country’s foreign policy, represents the country before other states and international organizations, participates on its behalf in international cooperation initiatives and mechanisms at the international, European and regional levels and advocates Greek interests, both public and private, abroad.</t>
  </si>
  <si>
    <t>Βασ. Σοφίας 1, Αθήνα - Vas. Sofias 1, 106 71 Athens, Greece</t>
  </si>
  <si>
    <t>http://www.villasomalia.gov.so</t>
  </si>
  <si>
    <t>1 Presidential Palace, 450 Mogadishu, Banadir, Somalia</t>
  </si>
  <si>
    <t>Please note that the views expressed by commentors may not reflect the views of the Ministry. 
Please feel free to comment, but we request that your tone be civil and moderate.
Thank you for your interest in our work.
Follow our profiles in English on:
Twitter - @Polska
Flickr - Experience Poland (MFA)</t>
  </si>
  <si>
    <t xml:space="preserve">Tres grandes propósitos de mi gobierno son: 1) Recuperar la paz 2) Generación de Empleo 3) Vida Mejor http://www.presidencia.gob.hn
 http://www.juanorlando.com </t>
  </si>
  <si>
    <t>Official website www.mfa.gov.mn
Twitter account https://twitter.com/MFAMongolia_eng
Youtube page http://www.youtube.com/channel/UC69-xK-rps6QT5xoJpCc1Pg/videos?view=1
For consular information www.Consuls.net</t>
  </si>
  <si>
    <t>The Office of the Prime Minister of Jamaica</t>
  </si>
  <si>
    <t>1 876 927 9941</t>
  </si>
  <si>
    <t>1 Devon Road, Kingston 10</t>
  </si>
  <si>
    <t>2330 Roxas Boulevard, 1300 Pasay City, Philippines</t>
  </si>
  <si>
    <t>+595 21 493 456</t>
  </si>
  <si>
    <t>Міністерство закордонних справ України / MFA of Ukraine</t>
  </si>
  <si>
    <t>Rue de la Loi/Wetstraat 175, 1048 Brussels, Belgium</t>
  </si>
  <si>
    <t>http://www.president.go.ke</t>
  </si>
  <si>
    <t>http://www.bahrain.bh</t>
  </si>
  <si>
    <t>www.bahrain.bh Welcome to the official page of the Bahrain Information &amp; eGovernment Authority</t>
  </si>
  <si>
    <t>https://www.facebook.com/iGABahrain/</t>
  </si>
  <si>
    <t>Promulgated by the Royal Decree No. 69 in October 2015, both the eGovernment Authority and the Central Informatics Organization were merged into the ‘Information &amp; eGovernment Authority’ (iGA). Reporting to the Ministerial Cabinet, the authority’s initiatives are in line with the strategies, plans and programs set by the Supreme Council for Information Communication Technology (SCICT) - headed by His Highness Shaikh Mohammed bin Mubarak AlKhalifa, Deputy Prime Minister of the Kingdom of Bahrain. Currently, iGA is working on establishing newly unified vision, strategy, plans and objectives to serve every citizen, resident and business in Bahrain.</t>
  </si>
  <si>
    <t>https://www.facebook.com/prensapalacio/</t>
  </si>
  <si>
    <t>http://www.prc.cm</t>
  </si>
  <si>
    <t>وزارة الشؤون الخارجية التونسية Ministère des Affaires étrangères Tunisien</t>
  </si>
  <si>
    <t>http://www.ismailomarguelleh.com</t>
  </si>
  <si>
    <t>Page officielle d'Ismail Omar Guelleh, Président de la République de Djibouti.
www.ismailomarguelleh.com</t>
  </si>
  <si>
    <t>Palata Srbije, Bulevar Mihajla Pupina 2, istocni ulaz, 11000 Belgrade, Serbia</t>
  </si>
  <si>
    <t>대한민국 국무조정실·국무총리비서실</t>
  </si>
  <si>
    <t>http://www.gov.ge/</t>
  </si>
  <si>
    <t>https://www.facebook.com/KvirikashviliOfficial/</t>
  </si>
  <si>
    <t>Ministerstvo zahraničních věcí je ústředním orgánem státní správy České republiky pro oblast zahraniční politiky, v jejímž rámci vytváří koncepci a koordinuje zahraniční rozvojovou pomoc a koordinuje vnější ekonomické vztahy. 
Profil MZV na Facebooku spravuje odbor veřejné diplomacie MZV.</t>
  </si>
  <si>
    <t>Fiji Ministry of Foreign Affairs</t>
  </si>
  <si>
    <t>2 avenida 4-17, zona 10, 01010-Guatemala City, Guatemala</t>
  </si>
  <si>
    <t>00218 Tripoli</t>
  </si>
  <si>
    <t>- Head of the Free Patriotic Movement
- Minister of Foreign Affairs and Emigrants
 - Official Page</t>
  </si>
  <si>
    <t>Faqja personale e Hashim Thaçit, President i Republikës së Kosovës. Postimet me iniciale janë personale.
Personal page of Hashim Thaçi, President of the Republic of Kosovo. Posts with initials are personal ones.</t>
  </si>
  <si>
    <t>http://www.gouv.ci</t>
  </si>
  <si>
    <t xml:space="preserve">Welcome to Russian Foreign Ministry's official account! |
Добро пожаловать на официальную страницу МИД России!  </t>
  </si>
  <si>
    <t>Akun facebook page resmi milik Sekretariat Kabinet Republik Indonesia.
Kontak: humaslem@setkab.go.id
Instagram: sekretariat.kabinet
Twitter: @setkabgoid</t>
  </si>
  <si>
    <t>Gobierno de España. Secretaría de Estado de Comunicación.
http://www.lamoncloa.gob.es</t>
  </si>
  <si>
    <t>La Secretaría de Estado de Comunicación es la encargada de coordinar la política informativa del Gobierno, de elaborar los criterios que la determinan y relacionarse con los medios informativos. También elabora y difunde los comunicados del presidente, y la reseña del Consejo de Ministros, información a la que pueden acceder no sólo los medios de comunicación sino cualquier ciudadano.</t>
  </si>
  <si>
    <t>http://www.andrewholness.com</t>
  </si>
  <si>
    <t>Prime Minister of Jamaica, Member of Parliament for West Central St Andrew, and Jamaica Labour Party Leader: www.andrewholness.com</t>
  </si>
  <si>
    <t>Mr. Holness was born on July 22nd, 1972. He attended St. Catherine High and later graduated from the University of the West Indies.
Mr. Holness served as Executive Director in the Voluntary Organization for Uplifting Children from 1994 to 1996. Then he joined the Premium Group of Companies and functioned as a special assistant to Most. Hon. Edward Seaga. In 1997 he became Member of Parliament for West Central St. Andrew and served as Opposition Spokesperson on Land and Development from 1999 to 2002. In 2002 he switched portfolio to Housing and then Education in 2005. He was sworn in as Minister of the same in September 2007.</t>
  </si>
  <si>
    <t>https://www.facebook.com/AndrewHolnessJM/</t>
  </si>
  <si>
    <t>Jamaica Labour Party</t>
  </si>
  <si>
    <t>طريق الشط - طرابلس - ليبيا, 00218 Tripoli</t>
  </si>
  <si>
    <t>2221-0007 / 2221-0053</t>
  </si>
  <si>
    <t>MinistryOfForeignAffairsOfVietnam</t>
  </si>
  <si>
    <t>Ministry of Foreign Affairs of Vietnam</t>
  </si>
  <si>
    <t>Bộ Ngoại giao nước Cộng hòa Xã hội Chủ nghĩa Việt Nam</t>
  </si>
  <si>
    <t>https://www.facebook.com/MinistryOfForeignAffairsOfVietnam/</t>
  </si>
  <si>
    <t>Welcome to the Facebook's Page of the Ministry of Foreign Affairs and International Cooperation of Cambodia.</t>
  </si>
  <si>
    <t>ឯកឧត្តមទេសរដ្ឋមន្ត្រី ប្រាក់ សុខុន រដ្ឋមន្ត្រីការបរទេស និងសហប្រតិបត្តិការអន្តរជាតិ / H.E. Mr. PRAK Sokhonn, Senior Minister, Minister of Foreign Affairs and International Cooperation
រដ្ឋលេខាធិការ (Secretary of State)
- ឯកឧត្តម ឡុង វីសាលោ - H.E. Mr. LONG Visalo
- ឯកឧត្តម អ៊ុច បូររិទ្ធ - H.E. Mr. OUCH Borith
- ឯកឧត្តម អ៊ុង ស៊ាន - H.E. Mr. UNG Sean
- លោកជំទាវ សឿង រដ្ឋចាវី - Lok Chumteav, SOEUN Rathchavy
- ឯកឧត្តម លុយ ដាវីត - H.E. Mr. LUY David</t>
  </si>
  <si>
    <t>Jokowi</t>
  </si>
  <si>
    <t>https://www.facebook.com/Jokowi/</t>
  </si>
  <si>
    <t xml:space="preserve"> 23 de diciembre de 1959</t>
  </si>
  <si>
    <t>También nos puede encontrar en:
Twitter: https://twitter.com/CubaMINREX
Flickr: https://www.flickr.com/photos/125473483@N04/
YouTube: http://www.youtube.com/user/cubaminrex
Instagram &amp; Periscope</t>
  </si>
  <si>
    <t>Calzada No. 360, e/ Avenida de los Presidentes y H, Vedado., Havana, Cuba</t>
  </si>
  <si>
    <t>http://www.palestinecabinet.gov.ps/Website/AR/</t>
  </si>
  <si>
    <t xml:space="preserve">دکتر محمدجواد ظریف در 17 دی ماه 1338 در یک خانواده مذهبی سنتی در تهران متولد شد. وی تحصیلات ابتدایی و متوسطه خود را در دبستان و دبیرستان علوی انجام داد ولی پیش از پایان تحصیلات دبیرستانی و به دلیل شرایط سیاسی و امنیتی براي ادامه تحصيل به آمريکا عزیمت کرد. در خلال دوران دانشجوئي از فعالان و مسولين انجمن اسلامی دانشجویان در امریکا و کانادا بود. سوابق تحصیلی دانشگاهي دکتر ظريف از سال 1356 در دانشگاه ایالتی سانفرانسیکو در رشته روابط بین‌الملل شروع و تا سال 1367 با اخذ دکتری مطالعات بین‌المللی (روابط و حقوق بین‌الملل) از دانشگاه دنور آمريکا ادامه داشته است.  
دکتر ظريف داراي سوابق اجرایی طولاني در سمت هاي حساس وزارت امور خارجه مي باشد که از جمله به مدت 10 سال مسئوليت معاونت حقوقی و بین‌المللی وزارت امور خارجه را به عهده داشته و 5 سال سفیر و نماینده دائم در سازمان ملل متحد در نیویورک بوده است. وي در طول خدمت چندين بار به عنوان مدير نمونه ملي و دستگاهي شناخته شده است.
دکتر ظريف مسئولیت‌های گوناگون و مهم بین‌المللی نيز احراز کرده است که مهمترين آنها رييس کميته حقوقي مجمع عمومي ملل متحد، رئیس کمیسیون فرهنگی یونسکو، عضوگروه حقوقدان برجسته اصلاح منشور سازمان کنفرانس اسلامی، معاون مجمع عمومی ملل متحد، رئیس کمیسیون خلع سلاح ملل متحد و  رئیس کمیته سیاسی دوازدهمین اجلاس سران عدم تعهد در دوربان است.  وي مسئوليت سياسي برگزاري اجلاس سران کنفرانس اسلامي در تهران و رياست ستاد برگزاري اجلاس تاسيسي بين المجالس اسلامي در تهران را نيز به عهده داشت.  
سابقه تدریس دکتر ظریف بیش از دو دهه است؛ از جمله استاد ميهمان در دانشکده روابط بین‌الملل و استاد ميهمان و عضو هيئت علمي (گروه حقوق عمومی) دانشکده حقوق و علوم سیاسی‌ دانشگاه تهران.
دکتر ظریف دارای تألیفات متعددی به صورت مقاله و کتاب در خصوص موضوعاتی چون دیپلماسی چندجانبه، سازمان‌های بین‌المللی، مسائل سیاسی و امنیتی، خلع سلاح، و... به زبان‌های فارسی و انگلیسی می‌باشد که در نشریات معتبر داخلی و بین‌المللی منتشر شده است.
وي دو فرزند به نام مهدی ظریف و زهرا ظریف دارد که هر دو متأهل هستند و در ايران به کار مشغولند.
</t>
  </si>
  <si>
    <t>http://www.petermutharika.com</t>
  </si>
  <si>
    <t>rochkabore15</t>
  </si>
  <si>
    <t>Roch Marc Christian Kaboré</t>
  </si>
  <si>
    <t>http://presidence.bf</t>
  </si>
  <si>
    <t xml:space="preserve">Bienvenue sur la page officielle  de son Excellence Roch Marc Christian Kaboré , Président du FASO
Page géree par l'équipe du Cabinet 
</t>
  </si>
  <si>
    <t>https://www.facebook.com/rochkabore15/</t>
  </si>
  <si>
    <t>Palais de KOSYAM, Ouagadougou, Burkina Faso</t>
  </si>
  <si>
    <t>Patrice Talon, né le 1er mai 1958 est un homme d'affaires béninois qui a fait fortune dans la filière d'intrants agricoles.
Né d'un père cheminot natif de Ouidah et d’une mère issue de la famille Guedegbe d'Abomey, 
Patrice Talon est marié à une femme native de Porto-Novo et père de deux enfants.
Après un baccalauréat série « C » obtenu à Dakar, la capitale sénégalaise, il entre à la faculté des sciences de l'université de cette ville.
Depuis 1985, Patrice Talon à mis en place progressivement un tissu industriel d'envergure au Benin.
En 2015 il annonce sa candidature à l'élection présidentielle de 2016 et estime que ce qui peut être bon pour son entreprise peut être bon pour le Benin.</t>
  </si>
  <si>
    <t>StateHouseMw</t>
  </si>
  <si>
    <t>State House Malawi</t>
  </si>
  <si>
    <t>This is the Official Page for State House Malawi</t>
  </si>
  <si>
    <t>https://www.facebook.com/StateHouseMw/</t>
  </si>
  <si>
    <t>For all relevant information pertaining to the Presidency, administered by the Office of the Press Secretary at State House</t>
  </si>
  <si>
    <t>Edgar Chagwa Lungu</t>
  </si>
  <si>
    <t>Pavel.FilipPM</t>
  </si>
  <si>
    <t xml:space="preserve">Pagina oficială de Facebook a Prim-ministrului Republicii Moldova.
</t>
  </si>
  <si>
    <t>Data şi locul naşterii:  10 aprilie 1966, s. Pănăşeşti, raionul Străşeni
Starea civilă: căsătorit, 2 copii
Studii
1991-1996: Institutul Internaţional de Management, or.Chișinău, studii postuniversitare, diplomă în management internațional
1983-1990: Institutul Politehnic din Chişinău,  specialitatea inginer-mecanic (1984-1986 serviciul militar)
Experienţă profesională
14 ianuarie 2011-20 ianuarie 2016: Ministru al Tehnologiei Informaţiei şi Comunicaţiilor
2008-2011: Director general al SA “TUTUN-CTC”
2009-2010: Confederația Națională a Patronatelor, membru al Consiliului
2001-2008: Director general al SA “Bucuria”
1991-2001: inginer-şef, director general adjunct pentru probleme de producţie şi tehnologie, şef de secţie, , SA “Bucuria”.
Distincții
Decembrie 2013: decorat cu Medalia Uniunii Internaționale a Telecomunicațiilor pentru contribuție la edificarea societății informaționale
Iulie 2014: decorat de Președintele Republicii Moldova cu Ordinul Gloria Muncii
Limba maternă: româna
Limbi străine: engleză, rusă
Afiliere politică
2010-prezent: membru al Partidului Democrat din Moldova, vicepreşedinte; preşedinte al Organizaţiei Municipale Chişinău a PDM</t>
  </si>
  <si>
    <t>https://www.facebook.com/Pavel.FilipPM/</t>
  </si>
  <si>
    <t>Partidul Democrat din Moldova</t>
  </si>
  <si>
    <t xml:space="preserve">Desiré Delano "Dési" Bouterse. Ndp.sr (2004-04-24). Retrieved on 2012-01-08. () (born 13 October 1945 in Domburg (Wanica)) is the eighth President of Suriname. From 1980 to 1987 he was the leader of Suriname when the country was under military rule. _x000D_
_x000D_
Bouterse is the chairman of the Surinamese political combination Megacombinatie (Megacombination) and the leader of the National Democratic Party (NDP), which is part of the Megacombination. On 19 July 2010, Bouterse was elected as President of Suriname with 36 of 50 parliament votes – NRC.nl (Dutch) and on 12 August 2010 he was inaugurated. – Volkskrant.nl (Dutch) _x000D_
</t>
  </si>
  <si>
    <t>GISNewsDominica</t>
  </si>
  <si>
    <t>http://www.news.gov.dm</t>
  </si>
  <si>
    <t xml:space="preserve">For development news directly related to Dominica.
GIS is the Public Relations and Information Arm of the Government. </t>
  </si>
  <si>
    <t>https://www.facebook.com/GISNewsDominica/</t>
  </si>
  <si>
    <t>Our key clients include:
-    The General Public
  -Government Ministries
  - Media Houses
  - Statutory Bodies
  - Dominican Embassies and Consular Offices
  - Embassies of friendly governments
  - Regional and International Organizations
  - The Diaspora
The Government Information Service is the link between Government and the public in Dominica and abroad.
GIS promotes and disseminates information on the State and its affiliates, policies, plans and programs upholding the highest standard of practice.</t>
  </si>
  <si>
    <t xml:space="preserve">National Focus News Broadcasts
Eye on Development Radio Programmes
Focus on Development Documentaries
In Depth Documentaries
Profile Documentaries
Special Reports
Insight Morning Talk Show
</t>
  </si>
  <si>
    <t>Bath Estate, 00000 Roseau, Dominica</t>
  </si>
  <si>
    <t>Prime Minister's Press Secretariat</t>
  </si>
  <si>
    <t>National Cancer Platform 
(www.nationalcancerplatform.org.mt)
The President's Trust
(www.presidentstrust.org.mt)
The Malta Community Chest Fund Foundation 
(www.mccf.org.mt)
The President's Foundation for the Wellbeing of Society
(www.pfws.org.mt)</t>
  </si>
  <si>
    <t>Alpha Condé Président</t>
  </si>
  <si>
    <t>http://alphacondepresident.net</t>
  </si>
  <si>
    <t>Président de la République de Guinée</t>
  </si>
  <si>
    <t>https://www.facebook.com/PresidentAlphaCondeGuinee/</t>
  </si>
  <si>
    <t>Официальная страница Министерства иностранных дел Кыргызской Республики</t>
  </si>
  <si>
    <t>https://facebook.com/MfaSomalia</t>
  </si>
  <si>
    <t>MfaSomalia</t>
  </si>
  <si>
    <t>Czechia</t>
  </si>
  <si>
    <t>Kingston, Jamaica</t>
  </si>
  <si>
    <t>030-18170</t>
  </si>
  <si>
    <t>Faqja zyrtare e Presidentit të Republikës së Kosovës, Hashim Thaçi. 
Postimet personale nënshkruhen me inicialet HTH.</t>
  </si>
  <si>
    <t xml:space="preserve">The Most Honourable Andrew Holness </t>
  </si>
  <si>
    <t>http://opm.govt.lc/</t>
  </si>
  <si>
    <t>Castries, Saint Lucia</t>
  </si>
  <si>
    <t>Ministry of Foreign Affairs of Somalia</t>
  </si>
  <si>
    <t>http://www.mfa.gov.so/</t>
  </si>
  <si>
    <t>https://www.facebook.com/MfaSomalia/</t>
  </si>
  <si>
    <t>To inform public about the most current events</t>
  </si>
  <si>
    <t>President's Office, Male, Maldives</t>
  </si>
  <si>
    <t>Présidence de la République de Côte d'Ivoire</t>
  </si>
  <si>
    <t>The Royal Family</t>
  </si>
  <si>
    <t>http://www.royal.uk</t>
  </si>
  <si>
    <t>Welcome to The Royal Family's Facebook page! Please note that any offensive or inappropriate comments will be deleted and the user may be blocked.</t>
  </si>
  <si>
    <t>http://www.mk.gov.lv</t>
  </si>
  <si>
    <t>President Michel Temer</t>
  </si>
  <si>
    <t>https://facebook.com/MichelTemer</t>
  </si>
  <si>
    <t>Prime Minister Juha Sipilä</t>
  </si>
  <si>
    <t>Foreign Minister Aung San Suu Kyi</t>
  </si>
  <si>
    <t>President Rody Duterte</t>
  </si>
  <si>
    <t>President Pedro Pablo Kuczynski</t>
  </si>
  <si>
    <t>ppkoficial</t>
  </si>
  <si>
    <t>https://facebook.com/PresidenceSenegal</t>
  </si>
  <si>
    <t>https://facebook.com/govuganda</t>
  </si>
  <si>
    <t>Prime Minister Binali Yıldırım</t>
  </si>
  <si>
    <t>https://facebook.com/ppkoficial</t>
  </si>
  <si>
    <t>https://facebook.com/rodyduterte</t>
  </si>
  <si>
    <t>https://facebook.com/MAEE.Luxembourg</t>
  </si>
  <si>
    <t>Prime Minister Volodymyr Groysman</t>
  </si>
  <si>
    <t>https://facebook.com/volodymyrgroysman</t>
  </si>
  <si>
    <t>volodymyrgroysman</t>
  </si>
  <si>
    <t>Government of Uganda</t>
  </si>
  <si>
    <t>Namibian Presidency</t>
  </si>
  <si>
    <t>T.C. Başbakanlık</t>
  </si>
  <si>
    <t>Volodymyr Groysman</t>
  </si>
  <si>
    <t>PMO Malaysia</t>
  </si>
  <si>
    <t xml:space="preserve">Official page of Office of The Prime Minister Putrajaya, Malaysia. </t>
  </si>
  <si>
    <t>https://www.facebook.com/PMOMalaysia/</t>
  </si>
  <si>
    <t>Official Facebook Page of the Office of The Prime Minister of Malaysia</t>
  </si>
  <si>
    <t xml:space="preserve">+603-8888 8000 </t>
  </si>
  <si>
    <t>PresidenceTG</t>
  </si>
  <si>
    <t>Présidence de la République Togolaise</t>
  </si>
  <si>
    <t>https://www.facebook.com/PresidenceTG/</t>
  </si>
  <si>
    <t>Cuenta oficial de la Presidencia de la República del Paraguay</t>
  </si>
  <si>
    <t>https://www.facebook.com/PresidenciaPy/</t>
  </si>
  <si>
    <t>somalipm</t>
  </si>
  <si>
    <t>Somali Prime Minister</t>
  </si>
  <si>
    <t>https://www.facebook.com/somalipm/</t>
  </si>
  <si>
    <t>Somalia, mogadishu Mogadishu, Banadir, Somalia</t>
  </si>
  <si>
    <t>Here you'll find news regarding Swedish Foreign Policy and the work of the Swedish Ministry for Foreign Affairs and its missions abroad.
And more!</t>
  </si>
  <si>
    <t>https://www.facebook.com/SweMFA/</t>
  </si>
  <si>
    <t>+46 8-405 10 00</t>
  </si>
  <si>
    <t>Gustaf Adolfs Torg 1, Stockholm, Sweden</t>
  </si>
  <si>
    <t>https://www.facebook.com/trpresidency/</t>
  </si>
  <si>
    <t>https://www.facebook.com/USAbilAraby/</t>
  </si>
  <si>
    <t>usaporusski</t>
  </si>
  <si>
    <t>США по-pусски - U.S. Department of State</t>
  </si>
  <si>
    <t>Официальная русскоязычная страница Государственного департамента США</t>
  </si>
  <si>
    <t>https://www.facebook.com/usaporusski/</t>
  </si>
  <si>
    <t xml:space="preserve">Официальная русскоязычная страница Государственного департамента США, которая посвящена коммуникации актуальных глобальных вопросов внешней политики США для русскоговорящих читателей.
http://www.state.gov/r/pa/ime/useuropeanmediahub/index.htm
</t>
  </si>
  <si>
    <t>+1 202-647-4000</t>
  </si>
  <si>
    <t>حکومتِ امریکە اور دنیا بھر میں اردو زبان بولنے والوں کے درمیان مضبوط دوطرفہ رابطوں کے قیام کے لئے یہ امریکی سٹیٹ ڈیپارٹمننٹ کی ایک کاوش ہے۔</t>
  </si>
  <si>
    <t>https://www.facebook.com/USAUrdu/</t>
  </si>
  <si>
    <t>Alpha Condé 2015</t>
  </si>
  <si>
    <t>Page Facebook Officiel du candidat du RPG Arc-en-Ciel : Alpha Condé 2015</t>
  </si>
  <si>
    <t>Alpha Condé est Né le 4 mars 1938 à Boké en Basse-Guinée. Ses parents venaient de Baro, une petite ville dans la préfecture de Kouroussa dans la région de Kankan de la Haute-Guinée. (Lire la suite...) http://votealpha2015.com/index.php/2011-10-11-11-38-25</t>
  </si>
  <si>
    <t>https://www.facebook.com/votealpha2015/</t>
  </si>
  <si>
    <t>https://facebook.com/PresidentMargvelashvili</t>
  </si>
  <si>
    <t>https://facebook.com/mofamyanmar</t>
  </si>
  <si>
    <t>https://facebook.com/PMOMalaysia</t>
  </si>
  <si>
    <t>https://facebook.com/PresidenceTG</t>
  </si>
  <si>
    <t>https://facebook.com/PresidenciaPy</t>
  </si>
  <si>
    <t>https://facebook.com/somalipm</t>
  </si>
  <si>
    <t>https://facebook.com/SweMFA</t>
  </si>
  <si>
    <t>https://facebook.com/trpresidency</t>
  </si>
  <si>
    <t>https://facebook.com/TunisieDiplo</t>
  </si>
  <si>
    <t>https://facebook.com/USAbilAraby</t>
  </si>
  <si>
    <t>https://facebook.com/usaporusski</t>
  </si>
  <si>
    <t>https://facebook.com/USAUrdu</t>
  </si>
  <si>
    <t>https://facebook.com/votealpha2015</t>
  </si>
  <si>
    <t>a2i - Access to Information</t>
  </si>
  <si>
    <t>Bienvenue sur la page Facebook officielle d'Ali Bongo Ondimba</t>
  </si>
  <si>
    <t>alscosta</t>
  </si>
  <si>
    <t>https://www.facebook.com/alscosta/</t>
  </si>
  <si>
    <t>Minoritenplatz 8, 1010 Vienna, Austria</t>
  </si>
  <si>
    <t>Botswana.Government</t>
  </si>
  <si>
    <t>https://www.facebook.com/CancilleriaEcuador/</t>
  </si>
  <si>
    <t>Central Communications Service</t>
  </si>
  <si>
    <t>http://www.minrex.gob.cu/</t>
  </si>
  <si>
    <t>https://www.facebook.com/Diplomatie.Belgium/</t>
  </si>
  <si>
    <t>الهدف الأساسي من هذه الصفحة إتاحة تلقي المقترحات، والشكاوى، والاستفسارات المتعلقة بجميع خدمات الحكومة المصرية.</t>
  </si>
  <si>
    <t>MODERATION POLICY: 
Find our Terms of Participation here: http://on.fb.me/1JVcQHk
SHARES do not necessarily mean endorsement.</t>
  </si>
  <si>
    <t>London, United Kingdom</t>
  </si>
  <si>
    <t>Velkomin á Facebook síðu forsætisráðuneytisins. Við fögnum allri umræðu á síðunni okkar en áskiljum okkur rétt til að fjarlægja meiðandi, niðrandi eða óviðeigandi ummæli um einstaklinga eða hópa. Að sjálfsögðu gilda hér líka almennar notendareglur Facebook (sjá á www.facebook.com/terms.php?ref=pf)
Allt efni sem sett er inn af öðrum aðilum en forsætisráðuneytinu er á ábyrgð viðkomandi einstaklings.
Fylgist með okkur annars staðar á vefnum:
www.forsaetisraduneyti.is
@forsaetisradun</t>
  </si>
  <si>
    <t>GovernodeCaboVerde</t>
  </si>
  <si>
    <t>Governo de Cabo Verde</t>
  </si>
  <si>
    <t>http://www.governo.cv/</t>
  </si>
  <si>
    <t>Página oficial do Governo de Cabo Verde, no facebook.</t>
  </si>
  <si>
    <t>https://www.facebook.com/GovernodeCaboVerde/</t>
  </si>
  <si>
    <t>(00238) 261 0248/ 261 0305</t>
  </si>
  <si>
    <t>304 / Várzea - Praia Praia, Cape Verde</t>
  </si>
  <si>
    <t>govuganda</t>
  </si>
  <si>
    <t>http://government.go.ug</t>
  </si>
  <si>
    <t>Government of the people's Republic of Uganda
http://government.go.ug
http://www.statehouse.go.ug/</t>
  </si>
  <si>
    <t>https://www.facebook.com/govuganda/</t>
  </si>
  <si>
    <t>256 Kampala, Uganda</t>
  </si>
  <si>
    <t>haider.alabadi.iraq</t>
  </si>
  <si>
    <t>https://www.facebook.com/haider.alabadi.iraq/</t>
  </si>
  <si>
    <t>Centro Histórico, Guatemala</t>
  </si>
  <si>
    <t>MAEE.Luxembourg</t>
  </si>
  <si>
    <t>Ministère des Affaires étrangères et européennes, Luxembourg</t>
  </si>
  <si>
    <t>http://www.gouvernement.lu/maee</t>
  </si>
  <si>
    <t>Compte officiel du MAEE luxembourgeois. 
Offiziellen Account vum lëtzebuerger MAEE 
Official account of Luxembourg's MFEA</t>
  </si>
  <si>
    <t>https://www.facebook.com/MAEE.Luxembourg/</t>
  </si>
  <si>
    <t xml:space="preserve">Politique de modération/ Moderation policy:
De lëtzebuerger Ausseministère weist drop hin, datt diskriminéirend Commentairen op dëser Säit net toleréiert ginn. Dofir fuerdere mir d'Visiteure vun dëser Säit op, fir all auslännerfeindlech, rassistesch, homophob, beleidegend, diffaméierend a sexistesch Remarquen z'ënnerloossen. Dës Commentairë ginn direkt geläscht an un déi zoustänneg Autoritéite weiderginn. Och kommerziell Inhalter ginn direkt geläscht. Dëse Site gëtt geréiert vu méindes bis freides, vun 8 Auer bis 18 Auer. Ausserhalb vun dësen Auerzäiten, d‘Weekender an d’Feierdeeg ass eng Surveillance vum Site garantéiert. De lëtzebuerger Ausseministère äntwert op Commentairen a Froen, esouwäit et méiglech ass. Et gëtt awer drop higewisen, datt weder Facebook nach Twitter en offizielle Wee si fir sech un den Ausseministère z'adresséieren. Weider Informatiounen op der offizieller Internetsäit vum Ausseministère: www.gouvernement.lu/maee. 
Tout utilisateur de cette page s’engage à faire abstraction de toute forme de discrimination liée à la race, la couleur, la religion, le sexe, l’orientation sexuelle, l'âge, l'origine nationale, le handicap, l'état matrimonial ou encore le statut professionnel. Les propos injurieux, racistes, sexistes ou offensants seront supprimés et signalés aux autorités judiciaires. Tout contenu commercial sera également supprimé.Cette page est gérée du lundi au vendredi, entre 8 heures et 18 heures. En dehors de ces heures, ainsi que durant les week-ends et jours fériés, une surveillance est assurée. Le MAEE essaye de réagir aux commentaires et questions des utilisateurs dans les meilleurs délais, en tenant compte des horaires qui précèdent. Cette page ne constitue pas une voie officielle pour s'adresser au Ministère des Affaires étrangères et européennes ou pour effectuer une démarche administrative. 
Any user of this page must exclude all forms of discrimination based on race, colour, religion, sex, sexual orientation, age, national origin, disability, marital status or employment status. Insults, racist, sexist or offensive comments will be removed and reported to the judicial authorities. Any commercial content will be removed as well. This page is run from Monday to Friday between 8 am and 6 pm. Outside office hours and during weekends and holidays, monitoring is ensured. The MFEA tries to respond to comments and questions from users in a timely manner, taking into account the above schedule. This page is not an official way to contact the Ministry of Foreign and European Affairs or to make an administrative approach.
</t>
  </si>
  <si>
    <t>00352 247-82300</t>
  </si>
  <si>
    <t>Sproochen/ Langues/ Languages:
De MAEE publizéiert op dësem Site haaptsächlech op lëtzebuergesch. Jee no Informatioun kënnen déi awer och op franséisch, däitsch oder englesch publizéiert ginn. Et ass méiglech, datt op aner Websäite verwise gëtt, déi net multilingual sinn.
Le MAEE publie principalement en luxembourgeois sur cette page. En fonction de la cible ou de la nature des informations, celles-ci sont aussi diffusées en français, allemand ou anglais. Il se peut que les informations publiées sur cette page renvoient vers des sites qui ne sont pas multilingues. Dans la mesure du possible, il sera répondu à toute question/commentaire dans la langue de l’utilisateur.
The MFEA publishes mainly in Luxembourgish on this page. Depending on the target or the nature of the information, they are also broadcast in French, German or English. It may be that the information published on this page refer to sites that are not multilingual.
As far as possible, it will be answered any question / comment in the language of the user.</t>
  </si>
  <si>
    <t>http://www.micheltemer.com.br</t>
  </si>
  <si>
    <t>https://www.facebook.com/MichelTemer/</t>
  </si>
  <si>
    <t>PMDB</t>
  </si>
  <si>
    <t>mofamyanmar</t>
  </si>
  <si>
    <t>Ministry of Foreign Affairs              Myanmar</t>
  </si>
  <si>
    <t>Official Facebook page of Ministry of Foreign Affairs (Myanmar).</t>
  </si>
  <si>
    <t>https://www.facebook.com/mofamyanmar/</t>
  </si>
  <si>
    <t>Singha Durbar, Kathmandu, Nepal 44600</t>
  </si>
  <si>
    <t>NamibianPresidency</t>
  </si>
  <si>
    <t>http://www.op.gov.na</t>
  </si>
  <si>
    <t>https://www.facebook.com/NamibianPresidency/</t>
  </si>
  <si>
    <t>Robert Mugabe Avenue, Windhoek, Namibia</t>
  </si>
  <si>
    <t>Служба центральных коммуникаций</t>
  </si>
  <si>
    <t>Actuel Président de la république du Cameroun / Current Head of State of the Republic of Cameroon</t>
  </si>
  <si>
    <t>Twitter: https://twitter.com/PR_Paul_Biya
Google +: https://plus.google.com/+PaulBiyaPrésidentduCamerounOfficiel</t>
  </si>
  <si>
    <t xml:space="preserve">Poland.pl is the information website of the Republic of Poland run by the Ministry of Foreign Affairs. </t>
  </si>
  <si>
    <t>https://www.facebook.com/ppkoficial/</t>
  </si>
  <si>
    <t xml:space="preserve">Cette page rend compte, au quotidien, des activités du Chef de l'Etat.
A ce titre, elle constitue un outil d'information sur l'actualité présidentielle d'une part, et de communication institutionnelle d'autre part.
La page se veut être aussi un instrument de  communication et d'interactions entre la Présidence de la République du Mali et les citoyens.
</t>
  </si>
  <si>
    <t>Informations à caractère officiel et activités institutionnelles</t>
  </si>
  <si>
    <t>Presidence.bf</t>
  </si>
  <si>
    <t>https://www.facebook.com/Presidence.bf/</t>
  </si>
  <si>
    <t>PresidenceSenegal</t>
  </si>
  <si>
    <t>Présidence de la République du Sénégal</t>
  </si>
  <si>
    <t xml:space="preserve">Bienvenue sur la page officielle de la Présidence de la République sénégalaise. 
</t>
  </si>
  <si>
    <t>https://www.facebook.com/PresidenceSenegal/</t>
  </si>
  <si>
    <t>Dakar, Senegal</t>
  </si>
  <si>
    <t>PresidentMargvelashvili</t>
  </si>
  <si>
    <t>https://www.president.gov.ge/ge/</t>
  </si>
  <si>
    <t>https://www.facebook.com/PresidentMargvelashvili/</t>
  </si>
  <si>
    <t xml:space="preserve">Welcome to the official Facebook page for the RMI Office of the President. </t>
  </si>
  <si>
    <t>PresidentofMalta</t>
  </si>
  <si>
    <t>https://www.facebook.com/PresidentofMalta/</t>
  </si>
  <si>
    <t>Primature -  Lapan'i Mahazoarivo</t>
  </si>
  <si>
    <t>http://www.primature.gov.mg</t>
  </si>
  <si>
    <t xml:space="preserve">Page officielle de la Primature de la République de Madagascar
Pejy ofisialy- Repoblikan'i Madagasikara
Lapan'i Mahazoarivo
Antananarivo
</t>
  </si>
  <si>
    <t>https://www.facebook.com/Primature-Lapani-Mahazoarivo-727643947321702/</t>
  </si>
  <si>
    <t>+ 261 20 22 650 10</t>
  </si>
  <si>
    <t>Palais d'Etat de Mahazoarivo, BP 248 Antananarivo 101</t>
  </si>
  <si>
    <t>Pitakotte</t>
  </si>
  <si>
    <t>rodyduterte</t>
  </si>
  <si>
    <t>Rody Duterte</t>
  </si>
  <si>
    <t>http://www.dutertecayetano.com</t>
  </si>
  <si>
    <t>This is the Official Facebook Account of Davao City Mayor Rodrigo Duterte</t>
  </si>
  <si>
    <t>https://www.facebook.com/rodyduterte/</t>
  </si>
  <si>
    <t>mfaSlovenia</t>
  </si>
  <si>
    <t>https://www.facebook.com/mfaSlovenia/</t>
  </si>
  <si>
    <t>OPMTT</t>
  </si>
  <si>
    <t>https://www.facebook.com/OPMTT/</t>
  </si>
  <si>
    <t xml:space="preserve">Follow us on other social media platforms!
Twitter: OPM_TT
https://twitter.com/OPM_TT 
Instagram: OPM_TT
https://www.instagram.com/opm_tt/ 
YouTube: Office of the Prime Minister Trinidad and Tobago 
https://www.youtube.com/channel/UCo_F2Z6AkFnEadn_Ejwl3rw
Biography: 
Dr Keith Christopher Rowley was born on October 24th 1949 in Mason Hall, Tobago, and was raised by his grandparents, who were prominent Tobago farmers.
Dr Rowley completed his secondary schooling at Bishop's High School, (BHS) Tobago and his sterling academic performance saw him capture the prestigious Sylvan Bowles Scholarship at BHS.  He then commenced his studies at the University of the West Indies, Mona, Jamaica, from where he graduated with a BSc. Geology (First Class Honours), Geography (First Class Honours); MSc in Volcanic Stratigraphy, UWI, St. Augustine.
He is a Volcanologist who obtained his Doctorate in Geology, specialising in Geochemistry.
He is a known nature lover, who enjoys gardening, hiking and is an avid golfer.
As a Research Scientist he held the positions of Research Fellow and later Head of the Seismic Research Unit at the University of the West Indies, St. Augustine. He was also the General Manager of State-owned National Quarries Company Limited.
He first ran for political office in 1981, where he contested the Tobago West seat. To date Keith Rowley has the distinction of being the only Peoples National Movement (PNM) candidate to have contested a seat in a General Election in both Tobago and Trinidad.
Dr Keith Christopher Rowley is the Member of the House of Representatives for Diego Martin West in the Parliament of Trinidad and Tobago, where he has represented that constituency since 1991 having been re-elected in 1995, 2000, 2001, 2002, 2007 and 2010.
Dr Rowley first served in Parliament as an Opposition Senator from 1987-1990.
He later served at Cabinet level holding, at various times, the portfolios:
Minister of Agriculture, Lands and Marine Resources,
Minister of Planning and Development,
Minister of Housing
Minister of Trade and Industry.
Governor of the Caribbean Development Bank (CDB).
Trinidad and Tobago’s representative Governor of the Inter-American Development Bank (IDB)
Following the People's National Movement (PNM)'s defeat in the Trinidad and Tobago General Election, 2010, Dr Rowley was appointed Leader of the Opposition of the Republic of Trinidad and Tobago and was elected Political Leader of the People’s National Movement in 2010.
On September 7th 2015 Dr Rowley led the People’s National Movement to general election victory, to become the 7th prime minister of the Republic of Trinidad and Tobago.
Dr Rowley is married to attorney -at- law Sharon Rowley, they have two daughters Tonya (attorney-at-law) and Sonel (post graduate student) both of whom won national scholarships.
Biography:
Minister in the Ministry of the Attorney General and Legal Affairs and Minister in the Office of the Prime Minister- The Honorable Stuart R Young, MP
Stuart Richard Young has been a practicing attorney for the past 18 years and has been admitted to the bar in Trinidad &amp; Tobago, England and Wales, the Commonwealth of Dominica and Antigua and Barbuda.
On September 11th, 2015 he was appointed as a Minister in the Ministry of the Attorney General and Legal Affairs and on March 17th, 2016 his portfolio was expanded with his further appointment as a Minister of State in the Office of the Prime Minister. 
He was appointed to the PNM’s team in the Senate as a temporary Opposition Senator in March 2014 and currently serves as the PNM’s MP for the Port of Spain North/ St. Ann’s West constituency after the September 2015 General Election.
A graduate of the University of Nottingham, Young has acquired a wealth of experience practicing as Counsel in civil law matters, including in the areas of commercial litigation, banking, insurance, industrial relations, public law and constitutional law, medical negligence and election petitions having dealt with many complex litigation matters and matters of public importance during his career.
He has appeared as Counsel in Commissions of Enquiry, including, the Piarco Commission of Enquiry, the Commission of Enquiry into the Construction Sector and the Commission of Enquiry into the Hindu Credit Union and CLF.
He is a member of the Honorable Society of Gray’s Inn in the United Kingdom. He has served as Member of the Council of the Law Association and as a Member of the Legislative Committee of AMCHAM.
A graduate of St Mary’s College, Young is a sport enthusiast who has competed in triathlons, has a black belt in shotokan karate and has played many sports at competitive levels, including, swimming, rugby and cricket.
---
 </t>
  </si>
  <si>
    <t>https://www.facebook.com/TunisieDiplo/</t>
  </si>
  <si>
    <t>Прем’єр-міністр України</t>
  </si>
  <si>
    <t xml:space="preserve">Народився 20 січня 1978 року у м.Вінниця. 
У 1994 році закінчив середню школу No 35. У старших класах, у віці 14 років, розпочав трудову діяльність слюсарем на МП «Школяр». У 16 років призначений комерційним директором МПП «ОКО». З листопада 1994 працював на посаді комерційного директора ПП «Юність» - підприємства свого батька, Бориса Гройсмана (депутат Вінницької міськради 24 скликання 2002-2006 рр.).
В 1994-2005 рр працював на керівних посадах в комерційних структурах. 
У 2002 році в 24 роки став наймолодшим депутатом Вінницької міськради по виборчому округу No 29. 
25 листопада 2005 – виконуючий обов'язки міського голови міста Вінниця.
У березні 2006-го офіційно переміг на виборах міського голови: 26 березня 2006 року в віці 28 років обраний Вінницьким міським головою.
На вибори міського голови Вінниці у 2010 році висунутий політичною партією «Совість України». 31 жовтня 2010 з рекордною для міських голів обласних центрів України підтримкою - 77,8% голосів -переобраний міським градоначальником.
З 2007 по 2013 роки Володимир Гройсман зміг забезпечити Вінниці сумарно залучених інвестицій в обсязі понад 736 млн.грн. Основні проекти: модернізація інфраструктури міського транспорту, обладнання полігону твердих побутових відходів, модернізація систем теплозабезпечення, створення діагностичного центру, реконструкція набережної та створення фонтану у центрі міста, створення кардіоцентру, будування інженерних мереж та інфраструктури, будівництво об’єктів соцсфери (школи, дитсадки, лікарні), дорожнє покриття, благоустрій вулиць та площ тощо.
За вісім років на посаді мера Володимиру Гройсману вдалося перетворити Вінницю з провінціального обласного 
центру на краще для життя місто України (за рейтингом журналу «Фокус» від 26-07-2013). 
27 лютого 2014 року Володимир Гройсман на запрошення Прем`єр-міністра України Арсенія Яценюка обійняв посаду Віце-прем'єр-міністра України – Міністр регіонального розвитку, будівництва та житлово-комунального 
господарства.
27 листопада 2014 року обраний Головою Верховної Ради України </t>
  </si>
  <si>
    <t>https://www.facebook.com/volodymyrgroysman/</t>
  </si>
  <si>
    <t>https://facebook.com/Kmassimov</t>
  </si>
  <si>
    <t>Prime Minister Allen Chastenet</t>
  </si>
  <si>
    <t>https://facebook.com/allenmchastanet</t>
  </si>
  <si>
    <t>pm.kz</t>
  </si>
  <si>
    <t>Prime Minister Theresa May</t>
  </si>
  <si>
    <t>TheresaMayOfficial</t>
  </si>
  <si>
    <t>Theresa May</t>
  </si>
  <si>
    <t>Foreign Minister Boris Johnson</t>
  </si>
  <si>
    <t>https://facebook.com/borisjohnson</t>
  </si>
  <si>
    <t>borisjohnson</t>
  </si>
  <si>
    <t>Boris Johnson</t>
  </si>
  <si>
    <t>https://facebook.com/ItalyMFA.it</t>
  </si>
  <si>
    <t>https://facebook.com/TheresaMayOfficial</t>
  </si>
  <si>
    <t>Foreign Minister Aurelia Frick</t>
  </si>
  <si>
    <t>https://facebook.com/Dr.AureliaFrick</t>
  </si>
  <si>
    <t>https://facebook.com/Kryeministria-e-republikes-se-Shqiperise-772125672825922</t>
  </si>
  <si>
    <t>https://facebook.com/PRC.CabinetCivil</t>
  </si>
  <si>
    <t>Foreign Minister Aurelien Agbenonci</t>
  </si>
  <si>
    <t>President Hassan Sheikh Mohamud</t>
  </si>
  <si>
    <t>https://facebook.com/MadaxweynahaJFS</t>
  </si>
  <si>
    <t>https://facebook.com/comunicacionespresidencia</t>
  </si>
  <si>
    <t>https://facebook.com/ditmirbushati.al</t>
  </si>
  <si>
    <t>https://facebook.com/GouvGn</t>
  </si>
  <si>
    <t>https://facebook.com/ortcomkz</t>
  </si>
  <si>
    <t>https://facebook.com/PatriceTalon.PR</t>
  </si>
  <si>
    <t>https://facebook.com/primeminister.int</t>
  </si>
  <si>
    <t>https://facebook.com/ssanchezceren</t>
  </si>
  <si>
    <t>https://facebook.com/AFGHANCE</t>
  </si>
  <si>
    <t>Foreign Minister Miguel Vargas</t>
  </si>
  <si>
    <t>https://facebook.com/miguelvargasmaldonado</t>
  </si>
  <si>
    <t>Allen Chastanet</t>
  </si>
  <si>
    <t>HelloSarkar</t>
  </si>
  <si>
    <t>Sarukaaru Khabaru</t>
  </si>
  <si>
    <t>ҚР Премьер-Министрі ресми сайты</t>
  </si>
  <si>
    <t xml:space="preserve">Official page of UK Prime Minister Theresa May, 10 Downing Street, London  </t>
  </si>
  <si>
    <t>The official Facebook page for 10 Downing Street, office of Theresa May, Prime Minister of the United Kingdom. If you are commenting on this page, please read our moderation policy: https://www.gov.uk/government/organisations/prime-ministers-office-10-downing-street/about/social-media-use</t>
  </si>
  <si>
    <t>aagbenonci</t>
  </si>
  <si>
    <t>Aurelien A. Agbenonci</t>
  </si>
  <si>
    <t>http://www.actionbeninpluriel.org/abp/</t>
  </si>
  <si>
    <t>Aurélien Agbénonci
De Wikipedia, l'encyclopédie libre
Aurélien Agbénonci (né en 1958) est Ministre des Affaires Etrangères du Bénin.
Auparavant Représentant spécial adjoint du Secrétaire général pour la Mission des Nations Unies multidimensionnelle intégrée pour la stabilisation en République centrafricaine (MINUSCA).
Nommé par le Secrétaire général des Nations Unies Ban Ki-moon , le 25 Avril 2014, M. Agbénonci avait également les fonctions de Coordonnateur résident des Nations Unies et le développement (PNUD) représentant résident du Programme des Nations Unies. 
Il possède une vaste expérience du système des Nations Unies ayant travaillé sur les questions de conflit, de développement et de gouvernance. Il a servi les Nations Unies dans plusieurs positions dans toute l'Afrique, y compris en tant que Coordonnateur résident des Nations Unies et Représentant résident du PNUD au Rwanda, de 2008 à 2011, et le Congo, de 2003 à 2008. Il a également occupé le poste de Représentant résident adjoint du PNUD en Côte d'Ivoire, de 1999 à 2003, et au Cameroun, de 1996 à 1999.
Avant de rejoindre les Nations Unies, M. Agbénonci a été coordonnateur de programme et chef d'état-major au Centre panafricain de prospective sociale au Bénin. Il a également travaillé à la Faculté de droit de l'Université de Nanterre en France. De 2012 à 2013, M. Agbénonci a été le Coordonnateur humanitaire, Coordonnateur résident des Nations Unies et Représentant résident du PNUD au Mali.
M. Agbénonci est titulaire de diplômes d'études supérieures en droit du commerce international de l'Université de Paris X Nanterre et dans le développement institutionnel, la gouvernance et les sciences environnementales de l'Université de Dakar au Sénégal. En outre, il est titulaire d'une maîtrise en droit des affaires de l'Université de Dakar.</t>
  </si>
  <si>
    <t>https://www.facebook.com/aagbenonci/</t>
  </si>
  <si>
    <t xml:space="preserve">2014 - 2016 : Deputy Special Representative of the Secretary-General for the United Nations Multidimensional Integrated Stabilization Mission in the Central African Republic (MINUSCA)
UN Resident and Humanitarian Coordinator &amp; UNDP Resident Representative Bangui (CAR)
2012 - 2013 :  UN Resident and Humanitarian Coordinator &amp; UNDP Resident Representative Bamako (Mali)
2008 - 2012 : UN Resident Coordinator &amp; UNDP Resident Representative   Kigali (Rwanda)
2003 –  2008 :  UN Resident Coordinator &amp; UNDP  Resident Representative  (Congo Brazzaville)  
1999 – 2003:  UNDP Deputy Resident Representative   (Côte - d’Ivoire)
1996 – 1999:  UNDP Deputy Resident Representative   (Cameroon ) 
1993 – 1996: UNDP Assistant and later Deputy Resident Representative (Burundi)    
1990 – 1993: UNDP International Programme Officer and later Assistant Resident Representative (Comoros Islands).
1989 – 1990:  Senior Programme Coordinator  and Chief of staff ; Pan – African Social Prospects Centre. (Benin)
1986 – 1989: Associate ProgrammeCoordinator and Special Assistant to the Secretary general of the World Social Prospects Association : (Geneva)
</t>
  </si>
  <si>
    <t>AFGHANCE</t>
  </si>
  <si>
    <t>https://www.facebook.com/AFGHANCE/</t>
  </si>
  <si>
    <t>Official Page of the Chief Executive of Islamic Republic of Afghanistan
صفحه رسمی ریاست اجرائیه جمهوری اسلامی افغانستان</t>
  </si>
  <si>
    <t>allenmchastanet</t>
  </si>
  <si>
    <t>The Official Facebook Page of Saint Lucia's Prime Minister, Honourable Allen Michael Chastanet.</t>
  </si>
  <si>
    <t>https://www.facebook.com/allenmchastanet/</t>
  </si>
  <si>
    <t>United Workers Party</t>
  </si>
  <si>
    <t>http://www.angela-merkel.de</t>
  </si>
  <si>
    <t>https://www.facebook.com/borisjohnson/</t>
  </si>
  <si>
    <t>+267 3950800</t>
  </si>
  <si>
    <t>CancelariaRM</t>
  </si>
  <si>
    <t>https://www.facebook.com/CancelariaRM/</t>
  </si>
  <si>
    <t>Quito - Ecuador. Carrión E176 y Av. 10 de Agosto, Quito, Ecuador</t>
  </si>
  <si>
    <t>comunicacionespresidencia</t>
  </si>
  <si>
    <t>Secretaría de Comunicaciones de la Presidencia</t>
  </si>
  <si>
    <t>http://www.presidencia.gob.sv/temas/secretaria-de-comunicaciones/</t>
  </si>
  <si>
    <t>Página oficial de la Secretaría de Comunicaciones de la Presidencia de la República de El Salvador
Twitter: https://twitter.com/GobSV_Comunica</t>
  </si>
  <si>
    <t>https://www.facebook.com/comunicacionespresidencia/</t>
  </si>
  <si>
    <t xml:space="preserve">(503) 2248-9000 </t>
  </si>
  <si>
    <t>23 June 1898</t>
  </si>
  <si>
    <t xml:space="preserve">For consular and passport-related concerns:
This page is unable to give advice on passport application status. For inquiries on passport and consular matters, please call (632) 556-0000.
All passport applicants are advised to contact the DFA Office of Consular Affairs (DFA-OCA) at the Aseana Business Park, Paranaque City (near SM Mall of Asia) through the following:
Website: www.passport.gov.ph
Hotline: (632) 737-1000
Passport applicants are required to make an appointment through the DFA Passport Appointment System. It is accessible through the website or via the hotline provided above. The passport appointment service is FREE OF CHARGE.
Passport requirements and procedures are likewise found on the website above.
For authentication concerns and services:
The DFA authentication service is available at the DFA Office of Consular Affairs (DFA-OCA) building which is located at the Aseana Business Park in Paranaque City (near SM Mall of Asia). 
</t>
  </si>
  <si>
    <t xml:space="preserve">Diplomatie.Belgium is the official page of the Belgian Foreign Affairs, Foreign Trade and Development Cooperation. http://diplomatie.belgium.be  </t>
  </si>
  <si>
    <t>Founded in 1831</t>
  </si>
  <si>
    <t>ditmirbushati.al</t>
  </si>
  <si>
    <t>https://www.facebook.com/ditmirbushati.al/</t>
  </si>
  <si>
    <t>Dr.AureliaFrick</t>
  </si>
  <si>
    <t>Dr. Aurelia Frick</t>
  </si>
  <si>
    <t>Aurelia Frick (* 19. September 1975 in St. Gallen) ist eine liechtensteinische Politikerin (FBP) und seit dem 25. März 2009 Mitglied der Regierung.</t>
  </si>
  <si>
    <t>https://www.facebook.com/Dr.AureliaFrick/</t>
  </si>
  <si>
    <t>Official Facebook Page of Dr. Hage Geingob, the President of the Republic of Namibia, and SWAPO Party President</t>
  </si>
  <si>
    <t>Prime Minister Dr. the Rt Hon. Keith Mitchell</t>
  </si>
  <si>
    <t>Presidente de los Estados Unidos Mexicanos.
En Twitter: 
https://twitter.com/EPN
En Instagram:
http://instagram.com/epn
Y en snapchat:
@Presidenciamx</t>
  </si>
  <si>
    <t>http://www.erna.no</t>
  </si>
  <si>
    <t>Statsminister i Norge og partileder i Høyre. Jobber for et samfunn med muligheter for alle.</t>
  </si>
  <si>
    <t>Federal Government Communication Affairs Office of Ethiopia</t>
  </si>
  <si>
    <t>http://www.gcao.gov.et</t>
  </si>
  <si>
    <t xml:space="preserve"> We aspire to see a society where citizens have access to accurate and timely information !!!!</t>
  </si>
  <si>
    <t>July 18, 2014</t>
  </si>
  <si>
    <t>https://www.facebook.com/Federal-Government-Communication-Affairs-Office-of-Ethiopia-349142568566343/</t>
  </si>
  <si>
    <t xml:space="preserve">Everyone has the right to hold opinions without interference. Everyone has the right to freedom of expression without any interference. This 
right shall include freedom to seek, receive and impart information and ideas  of all kinds, regardless of frontiers, either orally, in writing or in print, in the form of art, or through any media of his choice. Freedom of the press and other mass media and freedom of artistic creativity 
is guaranteed. Freedom of the press shall specifically include the following 
elements: 
a.   Prohibition of any form of censorship. 
b.   Access to information of public interest.  
4.    In the interest of the free flow of information, ideas and opinions which are 
essential to the functioning of a democratic order, the press shall, as an 
institution, enjoy legal protection to ensure its operational independence and 
its capacity to entertain diverse opinions. Any media financed by or under the control of the State shall be operated in a 
manner ensuring its capacity to entertain diversity in the expression of 
opinion. These rights can be limited only through laws which are guided by the 
principle that freedom of expression and information cannot be limited on 
account of the content or effect of the point of view expressed. Legal 
limitations can be laid down in order to protect the well-being of the youth, 
and the honour and reputation of individuals. Any propaganda for war as well 
as the public expression of opinion intended to injure human dignity shall be 
prohibited by law. Any citizen who violates any legal limitations on the exercise of these rights 
may be held liable under the law.  </t>
  </si>
  <si>
    <t>This page is of Ethiopian government. Evey necessary update in the country are available for 24 hours</t>
  </si>
  <si>
    <t>To provide timely and credible information to Ethiopians and international community to create consensus among citizens and to build image of the country positively.</t>
  </si>
  <si>
    <t>News, news letters, books, articles</t>
  </si>
  <si>
    <t xml:space="preserve">Ethiopian, Adds Ababa </t>
  </si>
  <si>
    <t>Ministry of Foreign Affairs Kenya</t>
  </si>
  <si>
    <t>supportfrancinebaron</t>
  </si>
  <si>
    <t>https://www.facebook.com/supportfrancinebaron/</t>
  </si>
  <si>
    <t>http://www.gob.cl</t>
  </si>
  <si>
    <t>Informer les citoyens sur les actions du Gouvernement de Côte d'Ivoire
Recueillir les préoccupations des citoyens</t>
  </si>
  <si>
    <t>GouvGn</t>
  </si>
  <si>
    <t>2 Octobre 1958</t>
  </si>
  <si>
    <t>https://www.facebook.com/GouvGn/</t>
  </si>
  <si>
    <t>Informer les citoyen(ne)s sur les actions du Gouvernement de la République de Guinée</t>
  </si>
  <si>
    <t>Your first stop for the latest official information, announcements and news on the Government of Brunei Darussalam.
• YouTube: goo.gl/nK9H5p</t>
  </si>
  <si>
    <t xml:space="preserve">This page is managed and maintained by the Presidential Communications Office - Strategic Communications.
The Official Gazette welcomes all commentary and discussion. We appreciate supportive comments, and encourage constructive criticism, as well as the airing of grievances. 
We reserve the right to pre-moderate entries and comments to disallow spam, advertisements, foul language, and abusive, off-topic, or ad hominem content. 
If your comment falls into the categories listed above we will hide them.
Likewise, messages that contain spam, expletives, and abusive or ad hominem content will not be entertained. We reserve the right to filter and archive all correspondence addressed to our office.
If you have any complaints, inquiries, or suggestions, you can always direct them at http://www.gov.ph/feedback/idulog/, or send a private message on our social media accounts (Official Gazette facebook.com/govph and Malacañan Palace facebook.com/malacanang). 
Our feedback team works Mondays to Fridays 9 a.m.-6 p.m., except regular holidays and special (non-working) days. </t>
  </si>
  <si>
    <t>Manila, Philippines</t>
  </si>
  <si>
    <t>hellosarkar.np</t>
  </si>
  <si>
    <t>http://www.opmcm.gov.np/</t>
  </si>
  <si>
    <t>https://www.facebook.com/hellosarkar.np/</t>
  </si>
  <si>
    <t>यस पेजद्वारा सर्वसाधारणका गुनासा तथा सुशासन विषयक सुझावहरु सुन्ने र तिनको कार्यान्वयन/नीतिगत सुधारका लागि सम्बन्धित निकायमा पठाउने कार्य गरिन्छ |</t>
  </si>
  <si>
    <t>ItalyMFA.it</t>
  </si>
  <si>
    <t>Ministero degli Affari Esteri e della Cooperazione Internazionale</t>
  </si>
  <si>
    <t xml:space="preserve">Profilo Ufficiale del Ministero degli Affari Esteri e della Cooperazione Internazionale (MAECI).
</t>
  </si>
  <si>
    <t>https://www.facebook.com/ItalyMFA.it/</t>
  </si>
  <si>
    <t xml:space="preserve">È nostro compito assicurare la coerenza delle attività internazionali ed europee delle singole amministrazioni con gli obiettivi di politica internazionale. 
Operiamo attraverso una rete di uffici in tutto il mondo: Ambasciate, Rappresentanze permanenti presso le organizzazioni internazionali, Delegazioni Diplomatiche Speciali, Uffici Consolari e Istituti Italiani di Cultura.
I principali settori di intervento sono:
• Rapporti internazionali 
• Rappresentanza italiana nel processo di integrazione europea 
• Cooperazione allo sviluppo al fine di garantire il rispetto della dignità umana e di assicurare la crescita economica di tutti i popoli
• Comunicazione e informazione delle nostre attività attraverso il Servizio Stampa del MAECI e dell’Ufficio Relazioni con il Pubblico
• Sostegno alle imprese e promozione del Made in Italy
• Promozione della cultura e della lingua italiana all’estero e delle missioni archeologiche
• Tutela ed assistenza Italiani all’estero
• Visti d’ingresso in Italia
Per informazioni e segnalazioni sulle attività del Ministero è possibile contattare l'Ufficio Relazioni con il Pubblico (URP). Consulta il seguente link: http://www.esteri.it/mae/it/ministero/servizi/sportello_info 
In caso di comprovata emergenza relativa a connazionali in contesti di rischio: 
0636225 attivo H24
unita.crisi@esteri.it
Twitter: @ItalyMFA 
https://twitter.com/ItalyMFA
Per conoscere la nostra policy sull'utilizzo dei social consulta il seguente link: http://www.esteri.it/mae/it/header_footer/notelegali.html
 </t>
  </si>
  <si>
    <t xml:space="preserve">Il MAECI esercita le funzione e i compiti spettanti allo Stato in materia di rapporti politici, economici, sociali e culturali con l’estero.
</t>
  </si>
  <si>
    <t>0039 0636911</t>
  </si>
  <si>
    <t>Piazzale della Farnesina, 1, 00135 Rome, Italy</t>
  </si>
  <si>
    <t xml:space="preserve">Nasza strona przeznaczona jest  dla wszystkich osób, które chcą się więcej dowiedzieć na temat prac rządu, ale także dla tych, którzy chcą aktywnie dyskutować na temat ważnych wydarzeń krajowych i zagranicznych.
Pragniemy, by strona Kancelarii Premiera na Facebooku była otwartą platformą wymiany myśli i dialogu społecznego, dlatego zachęcamy Was do wyrażania swoich opinii, w tym także konstruktywnej krytyki. </t>
  </si>
  <si>
    <t xml:space="preserve">His Majesty The Druk Gyalpo Jigme Khesar Namgyel Wangchuck is the King of Bhutan. </t>
  </si>
  <si>
    <t xml:space="preserve">His Majesty The King is a keen and passionate artist and photographer.  While His Majesty likes to travel and learn from different cultures, most travel is within Bhutan to remote rural villages.   </t>
  </si>
  <si>
    <t>Үкімет үйі, Орынбор 6, Astana, Kazakhstan, 010000</t>
  </si>
  <si>
    <t>http://pm.kz/en</t>
  </si>
  <si>
    <t>Kryeministria e republikes se Shqiperise</t>
  </si>
  <si>
    <t>http://kryeministria.al/</t>
  </si>
  <si>
    <t>Lajme nga Kryeministri, Kryeministria, ministrite dhe institucionet e tjera shteterore.</t>
  </si>
  <si>
    <t>https://www.facebook.com/Kryeministria-e-republikes-se-Shqiperise-772125672825922/</t>
  </si>
  <si>
    <t>MadaxweynahaJFS</t>
  </si>
  <si>
    <t>Hassan Sheikh Mohamud</t>
  </si>
  <si>
    <t>https://www.facebook.com/MadaxweynahaJFS/</t>
  </si>
  <si>
    <t>President of Somali Federal Republic</t>
  </si>
  <si>
    <t xml:space="preserve">President of Somali Federal Repuplic, I graduated Somali National University in 1981 and was employed in the Ministry of education as a teacher / trainer Lafole Technical Secondary School where I teach students and train artisans. In 1984, I joined Technical Teachers’ Training College as a lecturer and in 1986 became head of department before I traveled to India to attend a master of technical education program offered by Bhopal university in India. In 1988 upon my return to Somalia, I was selected as a counterpart to a group of international experts working on Upgrading Technical and Vocational Education of Somalia – a project implemented by UNESCO. My main area of concentration in the project was undertaking the research component of the project where I extensively travelled throughout Somalia.
After the collapse of the Somali state, I worked with UNICEF as education officer in south and central zone of Somalia in 1993. This task mainly involved in reviving education sector in this zone. I travelled extensively in the zone researching the magnitude of the collapse in the education sector and consulting the people on how to revive the sector as a community based endeavor
After the departure of the UNOSOM in 1995, I mostly involved in civic actions such as forming pressure groups on the political factions to reconcile. The main activities engaged were attempting to open channels of communication between and among the faction leaders in Mogadishu. Later on, this became the seed for the formation and strengthening of the Somali civil society. As a result, networks, coalitions and professional associations emerged in Mogadishu one after the other.
After the Cairo agreement of 1997, I was member of a team that negotiated and successfully dismantled the GREENLINE that divided Mogadishu into north and south after the disastrous war of 1992. 
In the last part of the 1990s, the conditions of the Somali youth was very critical. Those graduated from the secondary schools were having limited opportunities for higher learning and professional career development. As a member of ex university lecturers’ forum, we conducted need assessment survey in the market and identified the importance of establishing technical and vocational centers which some of them later on became higher learning centers such as universities. 
As result, I became one of the founders of Somali Institute of Management and Administration Development (SIMAD) in 1999. It was the first institute of its kind since the collapse of the Somali state. The main purpose of SIMAD was to produce mid level management and administrative technicians for the post conflict reconstruction of Somalia. I became the first dean of the institute until I resigned in 2010. Currently SIMAD is a leading university in academics, consultancy, research, and training in Somalia. Close 4,000 student are registered in its undergraduate programs as of September 2011and more than 1,500 students graduated since 2002 at diploma and bachelor’s degree in various disciplines.
In 2001, I joined Center for Research and Dialogue (CRD) as a researcher in post conflict reconstruction of Somalia. I extensively traveled in south central Somalia conducting research in the post conflict reconstruction issues and local peoples’ priorities. Later on I became a principal researcher. In 2004, CRD appointed me as a focal point for the issues related to the civil society strengthening. In consultation with other prominent civil society members, I worked in establishing the Mogadishu monthly forum, which became the first open neutral space for the public to express their views regarding the pertinent issues of the time.
In late 2005, I became program coordinator in CRD. The civil society in Mogadishu collectively appointed me to lead the formation of Somali civil Society Forum – a conglomerate of networks, coalitions and action groups engaged in different sectors. Since then the forum became a unified voice for the Somali Civil Society.
In 2009 - 2010, I worked as consultant in the Ministry of Planning and International Cooperation (MoPIC), Transitional Federal Government (TFG) in establishing Somali Aid Coordination and Management Unit within the Ministry.
Since 2007, I worked as a consultant and advisor in Somali political crisis with various international and local organizations. Among the organization I worked with include:
1.	UNDP Somalia
2.	Life and Peace Institute
3.	Conciliation Resources
4.	Oxford University, Center for Refugee studies.
5.	International Peace Building Alliance (Interpeace)
6.	Center for Research and Dialogue (CRD)
7.	Department for International Development (DfID)
8.	Transitional Federal Government of Somalia (TFG)
9.	Unicef Somalia
In 2011, I became a founding member of PEACE AND DEVELOPMENT PARTY (PDP) in Somalia. The first political party established in Mogadishu. I became its first Chairman
</t>
  </si>
  <si>
    <t>Nabad Horumar, cadaalad, aqoon iyo midnimo waarta oo ka hir gasha guud ahaan dhulka Soomaaliyeed</t>
  </si>
  <si>
    <t>President of Sri Lanka</t>
  </si>
  <si>
    <t>malawigovernment</t>
  </si>
  <si>
    <t>Official Malawi Government Online</t>
  </si>
  <si>
    <t>Official Malawi Government Facebook page.
Twitter feed: @malawigovt
www.twitter.com/malawigovt</t>
  </si>
  <si>
    <t>https://www.facebook.com/malawigovernment/</t>
  </si>
  <si>
    <t>I always appreciate feedback, but please be respectful of others. Profane, harassing, abusive and spam comments will be deleted, and repeat offenders will be banned.</t>
  </si>
  <si>
    <t>Manuel A.  González Sanz</t>
  </si>
  <si>
    <t>Ministry of External Affairs, Government of India</t>
  </si>
  <si>
    <t xml:space="preserve">Official Facebook Page - Ministry of External Affairs of India 
DIGITAL PRESENCE OF INDIAN MISSIONS AND POSTS
http://bit.ly/2bj9bel
 </t>
  </si>
  <si>
    <t xml:space="preserve">Social Media Accounts of Indian Missions and Posts: mymea.in/ar5
MEA India Android App: www.mea.gov.in/android
MEA India iOS App: www.mea.gov.in/ios
</t>
  </si>
  <si>
    <t>Welcome to the official page of the Ministry of Foreign Affairs of the Republic of Azerbaijan</t>
  </si>
  <si>
    <t>الصفحة الرسمية لوزارة الخارجية المصرية
Egyptian Ministry of Foreign Affairs</t>
  </si>
  <si>
    <t>Peace Avenue 7A, Sukhbaatar District, Ulaanbaatar, Mongolia</t>
  </si>
  <si>
    <t>Гадаад харилцааны яам</t>
  </si>
  <si>
    <t>Гадаад харилцааны яамны Facebook хуудсанд тавтай морилно уу. www.mfa.gov.mn Дэлгэрэнгүй...</t>
  </si>
  <si>
    <t>July 1, 1960</t>
  </si>
  <si>
    <t>Página oficial de Michel Temer, presidente da República e presidente licenciado do PMDB reeleito. Administrada pela Assessoria de Comunicação.</t>
  </si>
  <si>
    <t>Michel Temer assumiu definitivamente a Presidência da República em 31 de agosto de 2016, após o Senado Federal aprovar o processo de impeachment e afastar a presidente Dilma Rousseff do cargo. Durante o período de afastamento temporário de Dilma, Temer permaneceu como presidente interino por 111 dias. Com a confirmação do impedimento de Dilma pelo Senado Federal, Temer assumirá a Presidência plena até 31 de dezembro de 2018.
Michel Temer foi eleito vice-presidente em 2010 e reeleito, em 2014, na chapa de Dilma Rousseff. Reconhecido pela habilidade política, ocupou por três vezes a presidência da Câmara dos Deputados (1997-1999, 1999-2001 e 2009-2010). Está licenciado da presidência do PMDB Nacional, para a qual foi eleito em 11/09/2011 e reeleito mais 5 vezes: em 14/4/2004, 14/3/2007, 06/2/2010, 02/3/2013 e 12/3/2016.
Como vice-presidente, recebeu como principais atribuições a defesa do interesse do país em foros, encontros e negociações internacionais. Temer chefiou missões para discutir temas de relevo com alguns dos principais líderes mundiais. Na Coréia do Sul, por exemplo, encontrou-se com Barack Obama (EUA), Dimitri Medvedev (Rússia), Hu Jin Tao (China), entre outros, para debater a segurança nuclear mundial. Em sua atuação internacional, Michel Temer visitou países do Oriente Médio, das Américas, da Europa e da África com a missão de divulgar a economia brasileira, apontando oportunidades de investimentos e parcerias cujos resultados serão o crescimento e o desenvolvimento mútuo das nações.
Temer também presidiu dois fóruns de discussões internacionais com os governos da China e da Rússia: a Comissão Sino-Brasileira de Alto Nível de Cooperação e Concertação (COSBAN) e a Comissão de Alto Nível de Cooperação Brasil-Rússia (CAN). Em 2011, Michel Temer tratou com o então primeiro-ministro Vladimir Putin de negociações envolvendo a ampliação do mercado de carne para o Brasil. Com o vice-primeiro ministro Wang Qishan (China), Temer discutiu o aprimoramento das questões comerciais para controlar o fluxo de produtos chineses exportados para o Brasil.
No âmbito interno, o vice-presidente também coordenou o Plano Estratégico de Fronteiras, baseado nas operações Sentinela e Ágata, que visa, principalmente, a combater as ações criminosas nos mais de 16 mil quilômetros de fronteiras brasileiras.
Deputado por seis mandatos, foi apontado pelo Diap (Departamento Intersindical de Assessoria Parlamentar) em 2009 como parlamentar mais influente do Congresso Nacional. E, por vários anos, esteve entre os mais influentes deputados do Brasil.
Formação 
Michel Miguel Elias Temer Lulia nasceu em Tietê (SP), no dia 23 de setembro de 1940. Caçula de oito irmãos, Temer é católico. A família, sempre fiel aos preceitos cristãos, imigrou de Betabura, região de El Koura, no norte do Líbano, em 1925.
Assim que chegou ao Brasil, seu pai, Miguel Temer, comprou uma chácara em Tietê e instalou uma máquina de beneficiamento de arroz e café. Com o passar dos anos, a atividade de Miguel foi ganhando importância. O filho mais velho, Tamer, passou a ajudá-lo nos negócios da família. Michel e outros irmãos foram estudar na capital paulista.
Aos 16 anos, Michel Temer iniciou o clássico (atual ensino médio). Anos depois, entrou na tradicional e renomada Faculdade de Direito da Universidade de São Paulo (USP), no Largo do São Francisco.
Formado em direito pela Universidade de São Paulo (1963), possui o título de Doutor em Direito pela Pontifícia Universidade Católica (PUC) de São Paulo. Michel Temer é considerado um dos maiores constitucionalistas do país, autor dos livros Constituição e Política, Territórios Federais nas Constituições Brasileiras e Seus Direitos na Constituinte e Elementos do Direito Constitucional, esse último na 20ª edição, com 200 mil exemplares vendidos. Em 2012, recebeu o título Doutor Honoris Causa do Instituto de Direito Público (IDP) e da Universidade Fundação Instituto de Ensino para Osasco (UNIFIEO), por sua atuação no campo jurídico e político brasileiro.
Carreira pública
Iniciou a carreira política como oficial de gabinete de Ataliba Nogueira, secretário de Educação no governo do Estado de São Paulo. Em 1983, Michel Temer foi nomeado procurador-geral do Estado de São Paulo. No ano seguinte, assumiu a Secretária de Segurança Pública de São Paulo, cargo que voltou a ocupar no início dos anos 90.
No comando da Secretaria de Segurança Pública, Michel Temer adotou ideias modernas, mais tarde usadas como modelo em todo o país. Em 1985, criou os Conselhos Comunitários de Segurança (CONSEGS). No mesmo ano, após receber uma comissão que denunciava o espancamento de mulheres e o descaso de autoridades diante dos crimes, Temer criou a primeira Delegacia da Mulher no Brasil. Ainda nesse período, instituiu a Delegacia de Proteção aos Direitos Autorais, importante instrumento de combate à pirataria, e a Delegacia de Apuração de Crimes Raciais.
Na primeira administração à frente da Secretaria de Segurança Pública, recebeu grande estímulo para disputar cargo eletivo. Confidenciou ao então governador Franco Montoro um grande sonho: participar da Assembléia Nacional Constituinte em 1986. Montoro incentivou-o a seguir em frente.
Elegeu-se deputado constituinte pelo Partido do Movimento Democrático Brasileiro (PMDB) e participou ativamente da Assembléia Nacional Constituinte, quando se destacou pela posição moderada, sóbria e pelo grande conhecimento de direito constitucional.
Após a Constituinte, foi reeleito deputado federal e exerceu seis mandatos – todos pelo PMDB. Licenciou-se do cargo somente para reassumir a Secretaria de Segurança Pública de São Paulo e, depois, a de Governo.
Michel Temer foi eleito três vezes para Presidência da Câmara dos Deputados (1997, 1999 e 2009). Na primeira gestão, inovou ao abrir a Casa para a sociedade ao criar importante sistema de comunicação, responsável por noticiar o trabalho dos parlamentares e os grandes debates travados no plenário e nas comissões.
Nesse período, a Câmara discutiu e votou vários projetos que alteraram a estrutura do Estado brasileiro, com mudanças de grande repercussão para a modernização das instituições nacionais.
Na condição de presidente da Câmara, assumiu a Presidência da República, interinamente por duas vezes: de 27 a 31 de janeiro de 1998 e em 15 de junho de 1999.
No terceiro mandato, como presidente da Câmara, impediu o trancamento da pauta por Medidas Provisórias editadas pelo Executivo. Temer ofereceu nova interpretação constitucional. Segundo ele, uma MP somente trava a votação de matérias que podem ser objeto de Medida Provisória.
Assim, a votação de Propostas de Emenda à Constituição, Resoluções e Projetos de Lei Complementar, entre outras matérias elencadas no §1º do art. 62, não poderiam ser barradas. Com essa decisão, amplamente acolhida no meio jurídico e no âmbito legislativo, a Câmara retomou as votações de matérias relevantes para a sociedade. Na obra Democracia e Cidadania, Michel Temer reúne pronunciamentos e artigos elaborados no desempenho do mandato parlamentar.
De 2001 ao final de 2010, presidiu o Diretório Nacional do PMDB. Em 2011, licenciou-se do posto ao assumir a Vice-Presidência da República.
Síntese
Nome Completo: 
Michel Miguel Elias Temer Lulia
Data de Nascimento: 
23/09/1940
Profissões: 
Advogado e Professor
Filiação: 
Miguel Elias Temer Lulia e March Barbar Lulia
Legislatura: 
1987-1991, 1991-1995, 1995-1999, 1999-2003, 2003-2007 e 2007-2011.
E-mail: 
micheltemer@micheltemer.com.br
Mandatos: 
Deputado Federal (Constituinte), 1987-1991, SP, PMDB; Deputado Federal (Congresso Revisor), 1993-1995, SP, PMDB; Deputado Federal, 1995-1999, SP, PMDB; Presidente da República (Interino), 27/01/1998-31/01/1998; Presidente da República (Interino), 15/06/1999; Deputado Federal, 1999-2003, SP, PMDB. Dt. Posse: 01/02/1999; Deputado Federal, 2003-2007, SP, PMDB. Dt. Posse: 01/02/2003; Deputado Federal, 2007-2011, SP, PMDB. Dt. Posse: 01/02/2007; Vice-Presidente da República para o mandato 2011-2014. Posse: 01/01/2011.
Filiação Partidária: 
PMDB – 1981
Atividades Partidárias: 
Líder do PMDB, 3/2/1995-5/2/1997; Líder do Bloco PMDB/ PSD/ PSL/ PSC, 1996-1997; presidente nacional do PMDB, 9/2001-3/2004, 3/2004-3/2007, 3/2007-3/2009, 3/2009-3/2013 (licenciado em 2011).
Projetos Aprovados como Deputado:
De Combate ao Crime Organizado (Lei Nº 9034195)
De Criação dos Juizados Especiais (Lei Nº 9099/95)
Do Código de Defesa do Consumidor – ANC
Da Garantia do Direito de Voto dos Cabos e Soldados – ANC
Da Inviolabilidade dos Advogados no Exercício da Profissão - ANC</t>
  </si>
  <si>
    <t>miguelvargasmaldonado</t>
  </si>
  <si>
    <t>Miguel Vargas Maldonado</t>
  </si>
  <si>
    <t>www.twitter.com/miguelvargasmaldonado
www.facebook.com/miguelvargasmaldonado</t>
  </si>
  <si>
    <t>Cuenta Oficial de Miguel Vargas Maldonado #YoSoyPRD</t>
  </si>
  <si>
    <t>https://www.facebook.com/miguelvargasmaldonado/</t>
  </si>
  <si>
    <t>Calle El Pedregal, Blvd. Cancillería. Ciudad Merliot, Antiguo Cuscatlán, El Salvador. C.A., Antiguo Cuscatlán</t>
  </si>
  <si>
    <t xml:space="preserve">+34 91 379 97 00 </t>
  </si>
  <si>
    <t>MIREXR</t>
  </si>
  <si>
    <t>https://www.facebook.com/MIREXR/</t>
  </si>
  <si>
    <t>CancilleriaCostaRica</t>
  </si>
  <si>
    <t>Ministerio Relaciones Exteriores y Culto</t>
  </si>
  <si>
    <t>https://www.facebook.com/CancilleriaCostaRica/</t>
  </si>
  <si>
    <t>Statement by Hon. Mangala Samaraweera, Minister of Foreign Affairs of Sri Lanka Panel on Global Ocean Leadership at theOUR OCEAN 2016 CONFERENCE Washington, DC. 15 September 2016</t>
  </si>
  <si>
    <t>Ministry of Foreign Affairs, Naypyi Taw /Myanmar</t>
  </si>
  <si>
    <t>http://www.mofa.gov.ae/Pages/HomePage.aspx</t>
  </si>
  <si>
    <t>Muhammadu Buhari, President of Nigeria</t>
  </si>
  <si>
    <t xml:space="preserve">| The Official Government News Portal | 
Republic of Maldives </t>
  </si>
  <si>
    <t>Official Facebook page of Malaysian PM Najib Razak 
www.najibrazak.com
twitter.com/NajibRazak
youtube.com/najibrazak
instagram.com/najib_razak</t>
  </si>
  <si>
    <t>https://www.facebook.com/ortcomkz/</t>
  </si>
  <si>
    <t>PatriceTalon.PR</t>
  </si>
  <si>
    <t xml:space="preserve">Bienvenue sur la page officielle de Patrice Talon, Président de la République du Bénin. </t>
  </si>
  <si>
    <t>https://www.facebook.com/PatriceTalon.PR/</t>
  </si>
  <si>
    <t>Presidential Communications (Government of the Philippines)</t>
  </si>
  <si>
    <t>http://www.pm.gov.jo</t>
  </si>
  <si>
    <t>Bangunan Perdana Putra, 62502 Putrajaya, Wilayah Persekutuan, Malaysia</t>
  </si>
  <si>
    <t>Pedro Pablo Kuczynski</t>
  </si>
  <si>
    <t>PRC.CabinetCivil</t>
  </si>
  <si>
    <t>Cabinet Civil Prc</t>
  </si>
  <si>
    <t>https://www.facebook.com/PRC.CabinetCivil/</t>
  </si>
  <si>
    <t>+237 222 21 33 93</t>
  </si>
  <si>
    <t>95 Yaoundé, Cameroon</t>
  </si>
  <si>
    <t>presidencebenin</t>
  </si>
  <si>
    <t>Présidence de la République du Bénin</t>
  </si>
  <si>
    <t>https://www.flickr.com/presidencebenin</t>
  </si>
  <si>
    <t xml:space="preserve">Bienvenue sur la seule page Facebook officielle de la Présidence de la République du Bénin. </t>
  </si>
  <si>
    <t>https://www.facebook.com/presidencebenin/</t>
  </si>
  <si>
    <t>+229, Cotonou, Benin</t>
  </si>
  <si>
    <t>+507 5279600</t>
  </si>
  <si>
    <t>Bienvenidos a la Presidencia de la República del Perú. 
www.presidencia.gob.pe</t>
  </si>
  <si>
    <t>Oficina dedicada a la difusión de actividades e información del Presidente de la República del Perú.</t>
  </si>
  <si>
    <t>http://www.rmigov.com/</t>
  </si>
  <si>
    <t>33, Boulevard Harry Truman, HT-6110 Ville De Port-Au-Prince, Ouest, Haiti</t>
  </si>
  <si>
    <t>primeminister.int</t>
  </si>
  <si>
    <t>Website of the Prime Minister of Kazakhstan</t>
  </si>
  <si>
    <t>http://primeminister.kz/en</t>
  </si>
  <si>
    <t>Official website of the Prime Minister of the Republic of Kazakhstan</t>
  </si>
  <si>
    <t>https://www.facebook.com/primeminister.int/</t>
  </si>
  <si>
    <t>Ukimet Uyi, Astana, Kazakhstan, 010000</t>
  </si>
  <si>
    <t>primeminister.kaz</t>
  </si>
  <si>
    <t>http://primeminister.kz/kz</t>
  </si>
  <si>
    <t>Қазақстан Республикасының Премьер-Министрі ресми сайты</t>
  </si>
  <si>
    <t>https://www.facebook.com/primeminister.kaz/</t>
  </si>
  <si>
    <t>Сайт Премьер-Министра Казахстана</t>
  </si>
  <si>
    <t>Официальный сайт Премьер-Министра Республики Казахстан</t>
  </si>
  <si>
    <t>6 Orynbor Str, Үкімет үйі, Astana, Kazakhstan, 010000</t>
  </si>
  <si>
    <t>Willkommen auf meiner persönlichen Facebook-Seite! Freue mich auch über Deine Unterstützung auf www.sebastian-kurz.at .</t>
  </si>
  <si>
    <t>http://www.secretariadegoverno.gov.br</t>
  </si>
  <si>
    <t>http://www.sknis.kn</t>
  </si>
  <si>
    <t>http://gov.so</t>
  </si>
  <si>
    <t xml:space="preserve">Raisul Wasaaraha Soomaaliya
Somali Prime Minister
</t>
  </si>
  <si>
    <t>ssanchezceren</t>
  </si>
  <si>
    <t xml:space="preserve">Salvadoreño, comprometido con el desarrollo del país Presidente de El Salvador  para el periodo 2014 - 2019
Salvador 
Constructor de  sueños
Salvador Sánchez Cerén nació en la ciudad de Quezaltepeque, en el seno de una familia unida, católica, esforzada  y  trabajadora. Es  el noveno de doce hijos. Su padre fue carpintero y su madre dueña de un comedor en el mercado municipal. 
Su corazón en la educación
Se graduó en la Escuela Normal Alberto Masferrer a los diecinueve años, donde nació la vocación por el magisterio y  el servicio. La educación era un camino y decidió recorrerlo. Compartió con alumnos y  padres de familia la pobreza y la falta de oportunidades. Levantando escuelas con las comunidades. Esto lo llevó a soñar con un país más justo y armonioso para todos. Un país donde cada salvadoreño y salvadoreña encuentre un espacio para el  buen vivir.  
Educación para la libertad 
Ingresó en ANDES 21 de Junio. Luchó desde la década de los 60 por una educación gratuita, de calidad, para todos y todas, especialmente para los más pobres. Compartió en ANDES con Mélida Anaya Montes y muchos maestros más, con quienes logró organizar los primeros movimientos sociales. 
El camino de la esperanza con Margarita 
Margarita, su esposa, es un pilar en la vida de Salvador, procrearon 4 hijos. A lo largo de cuarenta y cuatro años han vivido momentos difíciles,  como las dictaduras militares,  y buenos momentos, como en los  últimos veinte años después de los Acuerdos de Paz, en los que se han logrado espacios para la democracia. Ambos se preocuparon  por mantener la familia unida a lo largo de todos estos años.
Salvador: Constructor de la democracia y la  paz 
Producto de la represión militar y la falta de espacios democráticos Salvador ingresó  en 1972 a  las Fuerzas Populares de Liberación (FPL), llegó a ser  Secretario General. Posteriormente formó  parte de la Comandancia General del FMLN y coordinador  general del mismo, con el propósito de derrotar a la dictadura militar.  Durante los años más tensos  del conflicto, en la década de los 80,   impulsó la solución política al conflicto armado. En 1992 fue  firmante de  los Acuerdos de Paz en Chapultepec, México.  
La construcción de la democracia 
Con los Acuerdos de Paz se logró democratizar el país y se abrieron espacios políticos. El FMLN se constituyó como la principal fuerza transformadora. Salvador desde la  Asamblea Legislativa impulsó leyes que abrieron nuevos horizontes a la educación, a la juventud  y a los migrantes. Mantiene un compromiso con los excluidos, que siempre han sido  las grandes mayorías. 
Ministro de educación ad honoren
Con el triunfo del FMLN, Salvador  es nombrado Ministro de Educación, trabajo que realizó de manera voluntaria por tres años. Impulsó  importantes y exitosos programas para beneficio de los más vulnerables. Se destacan los programas: entrega de uniformes, calzado, paquetes escolares  y alimentación  para los niños y las niñas de las escuelas públicas del país.  Implementó otros programas estratégicos que han sentado las bases para un sistema  educativo que corrija el atraso y de respuestas a los retos del futuro, a través de los programas  de apoyo social a los estudiantes, infraestructura escolar, calidad educativa y programas de dignificación magisterial. Se benefician con estos programas a millones de salvadoreñas y salvadoreños, entre estudiantes, docentes y productores.
De Vicepresidente a Presidente de la República 
Por demostrar a lo largo de su vida  compromiso social, experiencia acumulada, honestidad, capacidad, coherencia y firmeza en sus convicciones, el FMLN postula a Salvador como candidato a la Presidencia de la República en las elecciones del 2014. Salvador es el futuro.  Seguirá construyendo el país que queremos, con la participación ciudadana donde todos podamos vivir bien. La esperanza en el buen vivir está en el corazón de la gente. Salvador lleva en su corazón a nuestra gente.
</t>
  </si>
  <si>
    <t>https://www.facebook.com/ssanchezceren/</t>
  </si>
  <si>
    <t>Stenbocki maja, Rahukohtu 3, 15161 Tallinn, Estonia</t>
  </si>
  <si>
    <t>مرحباً بكم في الصفحة الرسمية الوحيدة لرئاسة الجمهورية العربية السورية على الفيس بوك.
يمكنكم متابعة آخر الأخبار والنشاطات الرئاسية أولاً بأول على هذه الصفحة، وعلى مواقع التواصل الاجتماعي الأخرى، على الروابط أدناه:
رئاسة الجمهورية العربية السورية على Telegram:
https://telegram.me/SyrianPresidency
رئاسة الجمهورية العربية السورية على Twitter:
https://twitter.com/Presidency_Sy
رئاسة الجمهورية العربية السورية على Instagram:
http://instagram.com/syrianpresidency
رئاسة الجمهورية العربية السورية على YouTube:
http://www.youtube.com/user/PresidencySy
http://www.youtube.com/SyrianPresidency
رئاسة الجمهورية العربية السورية على VK:
http://vk.com/syrianpresidency
شكراً لكم ولتفاعلكم.</t>
  </si>
  <si>
    <t xml:space="preserve">. 
</t>
  </si>
  <si>
    <t>https://www.facebook.com/TheresaMayOfficial/</t>
  </si>
  <si>
    <t>http://www.diplomatie.gov.tn</t>
  </si>
  <si>
    <t>http://state.gov/r/pa/ime/londonmediahub/</t>
  </si>
  <si>
    <t xml:space="preserve">لندن ریجنل میڈیا حب سوشل اور روائیتی میڈیا کے زریعے امریکی دفتر خارجہ کی دنیا بھر میں اردو  زرائع ابلاغ سے رابطے میں مرکزی کردار ادا کرتا ہے۔ لندن میڈیا حب کے ڈائریکٹر دنیا کے ہر حصے میں اردو زرائع ابلاغ پر ریڈیو اور ٹیلیویژن انٹرویوز کے زریعے شرکت کرتے ہیں تاکہ اردو سامعین کو امریکہ کی خارجہ پالیسی کی درست آگاہی فراہم کی جا سکے۔ 
اگر آپ ایک صحافی یا صحافتی ادارہ  ہیں اور ٹیلیویژن، ریڈیو یا ڈیجیٹل انٹرویو کرنا چاہتے ہیں تو آپ اس پلیٹ فارم یا مندرجہ زیل ای۔میل کی زریعے ہم سے رابطہ قائم کرسکتے ہیں۔ LondonHub@state.gov
</t>
  </si>
  <si>
    <t>2201 C Street NW, Washington, District of Columbia 20520</t>
  </si>
  <si>
    <t>www.foreignaffairs.gov.ng</t>
  </si>
  <si>
    <t>http://www.foreignaffairs.gov.ng</t>
  </si>
  <si>
    <t>https://www.facebook.com/www.foreignaffairs.gov.ng/</t>
  </si>
  <si>
    <t>Tafawa Balewa House, Central Business District, Abuja, Nigeria</t>
  </si>
  <si>
    <t>976-260311</t>
  </si>
  <si>
    <t>Pitanja Vladi možete postaviti na našim stranicama https://vlada.gov.hr/kontakti/16
Twitter: http://www.twitter.com/VladaRH
Youtube: http://www.youtube.com/wwwvladahr
Flickr: http://www.flickr.com/photos/wwwvladahr</t>
  </si>
  <si>
    <t>Na službenim Facebook stranicama Vlade Republike Hrvatske pronaći ćete najnovije vijesti, objave za medije, govore i izjave premijera, provedbe programa, multimediju te prijenose različitih događanja u realnom vremenu.
Prijedlozima, pitanjima, komentarima, kritikama i pohvalama sudjelujete i utječete na rad Vlade RH. Sudjelujte u stvaranju bolje Hrvatske!</t>
  </si>
  <si>
    <t>Dormant since 23.02.2016</t>
  </si>
  <si>
    <t>https://facebook.com/malawigovernment</t>
  </si>
  <si>
    <t>Dormant since 08.07.2014</t>
  </si>
  <si>
    <t>Dormant since 26.11.2015</t>
  </si>
  <si>
    <t>Dormant since 25.01.2016</t>
  </si>
  <si>
    <t>https://facebook.com/NamibianPresidency</t>
  </si>
  <si>
    <t>https://facebook.com/Pavel.FilipPM</t>
  </si>
  <si>
    <t>Dormant since 14.06.2012</t>
  </si>
  <si>
    <t>https://facebook.com/primeminister.kaz</t>
  </si>
  <si>
    <t>Dormant since 05.04.2016</t>
  </si>
  <si>
    <t>https://facebook.com/iGABahrain</t>
  </si>
  <si>
    <t>Prime Minister Andrej Plenković</t>
  </si>
  <si>
    <t>MinPresidencia</t>
  </si>
  <si>
    <t>https://facebook.com/MinPresidencia</t>
  </si>
  <si>
    <t>President Michel Aoun</t>
  </si>
  <si>
    <t>https://facebook.com/MichelAoun</t>
  </si>
  <si>
    <t>Foreign Minister Khemaies Jhinaoui</t>
  </si>
  <si>
    <t>https://facebook.com/KhemaiesJhinaoui</t>
  </si>
  <si>
    <t>https://facebook.com/DrWorkneh.Official</t>
  </si>
  <si>
    <t>Foreign Minister Workneh Gebeyehu</t>
  </si>
  <si>
    <t>https://twitter.com/ahmedbindaghar</t>
  </si>
  <si>
    <t>Prime Minister Ahmed Obeid bin Daghr</t>
  </si>
  <si>
    <t>https://facebook.com/AhmedObaidBinDaghar</t>
  </si>
  <si>
    <t>Prime Minister Saad Hariri</t>
  </si>
  <si>
    <t>saadhariri</t>
  </si>
  <si>
    <t>https://facebook.com/DonaldTrump</t>
  </si>
  <si>
    <t>https://facebook.com/PresidentIRL</t>
  </si>
  <si>
    <t>https://facebook.com/tzmagufuli</t>
  </si>
  <si>
    <t>https://facebook.com/Jokowi</t>
  </si>
  <si>
    <t>https://facebook.com/andrej.plenkovic.rh</t>
  </si>
  <si>
    <t>https://facebook.com/KerstiKaljulaid</t>
  </si>
  <si>
    <t>AhmedObaidBinDaghar</t>
  </si>
  <si>
    <t>د. احمد عبيد بن دغر Ahmed Bin Daghar</t>
  </si>
  <si>
    <t xml:space="preserve">مرحبا بكم في الصفحة الرسمية لرئيس مجلس الوزراء اليمني د.أحمد عبيد بن دغر
الإدارة الإعلامية / غمدان الشريف
</t>
  </si>
  <si>
    <t>أحمد عبيد بن دغر (1952) رئيس مجلس الوزراء اليمني والنائب الأول لحزب المؤتمر الشعبي العام.
المؤهلات العلمية
حاصل على بكالوريوس تربية من جامعة عدن بتقدير جيد جدًّا عام 1983م.
حاصل على درجة الماجستير في التاريخ بامتياز عام 2000م من معهد البحوث والدراسات العربية بالقاهرة.
حاصل على درجة الدكتوراه في التاريخ مع مرتبة الشرف الأولى عام 2004م
المناصب التي تقلدها
عمل عام 1973 في القطاع الزراعي، والحركة التعاونية، ثم رئيسًا لاتحاد الفلاحين عام 1976.
انتخب عضوًا في مجلس الشعب الأعلى عن دائرة شبام 1986.
في عام 1986 ايضاً انتخب عضوًا في هيئة رئاسة مجلس الشعب الأعلى إلى جانب قيادته للحركة التعاونية في الشطر الجنوبي من اليمن قبل الوحدة.
بعد تحقيق الوحدة اليمنية
عضو في مجلس النواب ورئيسًا للجنة الزراعة والأسماك.
عضو قيادي في الحزب الاشتراكي اليمني.
عضو قيادي في المؤتمر الشعبي العام
شغل منصب رئيس دائرة المنظمات الجماهيرية، ثم أمينا عام مساعداً لقطاع والثقافة والإعلام
عُين وزير للاتصالات وتقنية المعلومات في حكومة الوفاق الوطني في 7 ديسمبر 2011 م
في 11 يونيو 2014 صدر قرار جمهوري بتعينة نائب لرئيس الوزراء في حكومة باسندوة بالأضافة إلى منصب وزير للاتصالات وتقنية المعلومات[2]
عُين مستشار لرئيس الجمهورية عبدربه منصورهادي في 1 اغسطس 2015.
عُين رئيس مجلس الوزراء اليمني 4 ابريل 2016
مولفاته
حضرموت والاستعمار البريطاني، صدر عام 2000، منشورات مكتبة "قرطبة" في القاهرة.
اليمن تحت حكم الإمام أحمد، صدر 2004، منشورات مكتبة "مدبولي" في القاهرة.
الأوسمة
حاصل على وسام الاستقلال 30 نوفمبر</t>
  </si>
  <si>
    <t>https://www.facebook.com/AhmedObaidBinDaghar/</t>
  </si>
  <si>
    <t>andrej.plenkovic.rh</t>
  </si>
  <si>
    <t>Andrej Plenković</t>
  </si>
  <si>
    <t>http://www.andrejplenkovic.hr</t>
  </si>
  <si>
    <t>Službena Facebook stranica.
Predsjednik Vlade Republike Hrvatske.
Predsjednik Hrvatske demokratske zajednice.
Web stranica: www.andrejplenkovic.hr</t>
  </si>
  <si>
    <t>https://www.facebook.com/andrej.plenkovic.rh/</t>
  </si>
  <si>
    <t xml:space="preserve">Hrvatska demokratska zajednica - Europska pučka stranka </t>
  </si>
  <si>
    <t>Cancillería Bolivia</t>
  </si>
  <si>
    <t>http://www.cancilleria.gob.bo</t>
  </si>
  <si>
    <t>Ministerio de Relaciones Exteriores del Estado Plurinacional de Bolivia</t>
  </si>
  <si>
    <t xml:space="preserve">(591) (2) 2408900 – 2409114 - 2408595  Fax: (591) (2) 2408642 – 2408905  </t>
  </si>
  <si>
    <t>CITY</t>
  </si>
  <si>
    <t>DonaldTrump</t>
  </si>
  <si>
    <t>Donald J. Trump</t>
  </si>
  <si>
    <t>http://www.donaldjtrump.com</t>
  </si>
  <si>
    <t>This is the official Facebook page for Donald J. Trump</t>
  </si>
  <si>
    <t>https://www.facebook.com/DonaldTrump/</t>
  </si>
  <si>
    <t>725 Fifth Ave, New York, New York 10022</t>
  </si>
  <si>
    <t>DrWorkneh.Official</t>
  </si>
  <si>
    <t>Workneh Gebeyehu</t>
  </si>
  <si>
    <t>https://www.facebook.com/DrWorkneh.Official/</t>
  </si>
  <si>
    <t xml:space="preserve"> The Federal Democratic Republic of Ethiopia Ministry of Foreign Affairs</t>
  </si>
  <si>
    <t>Addis Ababa, Addis Ababa, Ethiopia</t>
  </si>
  <si>
    <t>Despacho Estrategia y Comunicaciones</t>
  </si>
  <si>
    <t xml:space="preserve">Este es un espacio para promover el acceso, uso efectivo y apropiación de la Información pública como una buena práctica del Gobierno de Honduras. </t>
  </si>
  <si>
    <t>Diseñar una estrategia de Comunicación Estatal que garantice a la población el acceso a la información de todo el accionar del Gobierno y contribuir a una administración pública transparente.</t>
  </si>
  <si>
    <t>Casa Presidencial Honduras, Tegucigalpa, Honduras</t>
  </si>
  <si>
    <t>govbrunei</t>
  </si>
  <si>
    <t>https://www.facebook.com/govbrunei/</t>
  </si>
  <si>
    <t>Vicepresidenta y Ministra de Relaciones Exteriores de Panamá</t>
  </si>
  <si>
    <t>KhemaiesJhinaoui</t>
  </si>
  <si>
    <t xml:space="preserve">Dette er den offisielle Facebooksiden for det norske kongehuset. Kongehuset finnes også på Twitter, YouTube og Instagram, i tillegg til www.kongehuset.no
</t>
  </si>
  <si>
    <t>På Kongehusets nettsider finner du fyldige biografier om alle dets medlemmer:
http://www.kongehuset.no/seksjon.html?tid=27163&amp;sek=26940</t>
  </si>
  <si>
    <t xml:space="preserve">På denne siden vil du finne informasjon om Kongeparet, Kronprinsparet, Prinsesse Märtha Louise og Prinsesse Astrid, fru Ferners offisielle virke. 
Alle er velkommen til å gi relevante kommentarer til postene som publiseres. Ren reklame eller innlegg av diskriminerende eller sjikanøs karakter vil bli slettet.  </t>
  </si>
  <si>
    <t xml:space="preserve">Kongehusets medlemmer engasjerer seg i et bredt spekter av tema innenfor sitt offisielle virke.
Kong Haralds store interesse for idrett er velkjent, og han er fremdeles selv aktiv seiler. Aktiv alderdom er et viktig tema for Kongen, som også er svært opptatt av forholdene for barn og unge. Kongen har et livslangt engasjement for miljøet og var president i Verdens Naturfond (WWF Norge) i 20 år.
Dronning Sonja er særlig opptatt av kunst og kultur. I tillegg til å engasjere seg gjennom prisene Queen Sonja Print Award og Dronning Sonja Internasjonale Musikkonkurranse, er Dronningen også selv utøvende grafiker, der hun blant annet henter inspirasjon fra sine mange turer i norsk natur. Dronningen har også engasjert seg til beste for innvandrerkvinner. 
Kronprins Haakon er spesielt opptatt av ungt entreprenørskap, klima og utviklingsspørsmål. Kronprinsen har vært ambassadør for FNs utviklingsprogram UNDP siden 2003 og er en av grunnleggerne bak prosjektet Global Dignity 
Kronprinsesse Mette-Marit er spesielt opptatt av internasjonale helsespørsmål og har vært spesialutsending for FNs program for arbeid med Hiv og Aids siden 2006. 
Mental helse, og inkludering av minoriteter og stigmatiserte grupper er viktig for Kronprinsessen, som også deler Kronprinsens engasjement for klima og miljø. 
Kronprinsesse Mette-Marit har også en stor interesse for litteratur, og har i flere år arbeidet for å spre lesegleden.
 </t>
  </si>
  <si>
    <t>22 04 87 00</t>
  </si>
  <si>
    <t>Det kongelige slott, Oslo, Norway</t>
  </si>
  <si>
    <t>http://kormany.hu</t>
  </si>
  <si>
    <t>La Chancellerie Haïtienne</t>
  </si>
  <si>
    <t>Page Officielle du Ministère des Affaires Etrangères et des Cultes | Paj Ofisyèl Ministè Afè Etranjè</t>
  </si>
  <si>
    <t>https://www.facebook.com/MAECHaiti/</t>
  </si>
  <si>
    <t>http://www.mfa.gov.md/</t>
  </si>
  <si>
    <t>Promovăm politica statului în domeniul relaţiilor externe şi integrării europene</t>
  </si>
  <si>
    <t>Pallewatte Gamaralalage Maithripala Yapa Sirisena was born on 3rd September 1951 to a middle-class farming family. (He is known as Maithripala Sirisena or Maithri (Sinhala: මෛත්‍රීපාල සිරිසේන) and is a member of the Parliament of Sri Lanka. He joined mainstream politics in 1989 and has held several ministrial portfolios since 1994. He is the longest serving General Secretary of the Sri Lanka Freedom Party (SLFP) (ශ්‍රී ලංකා නිදහස් පක්ෂය – இலங்கை சுதந்திரக் கட்சி) and was selected as the Common Candidate of the for the Presidential Election to be held on 8th January 2015, where he is expecting the majority support of the people of Sri Lanka to change the regime to build a better governance and a economically prosperous Sri Lanka for everyone.
Maithripala Sirisena is a rare breed of a gentleman politician in today’s political landscape, a politician with an impeccable track record, untainted by either violence or corruption. Maithripala is a political leader with a genuine national appeal. The son of a farmer, he had practiced a brand of centrist, moderate and clean politics, which characterizes the best in Sri Lanka’s political culture.
1967
In 1967 Maithripala became a member of the Sri Lanka Freedom Party’s Youth Organization and became its secretary of the Polonnaruwa electorate at the time he was completing his ordinary level (O/L) examinations at Royal College, Polonnaruwa. In 1970 he actively participated in the SLFP election campaign as a student.
He obtained the “Diploma in Agriculture” from School of Agriculture in Kundasale in 1973.
Maithri was jailed after the 1971 JVP Insurrection, although he was not involved in it.
1974
He became a Co-orporative Purchasing Officer in Polonnaruwa as his first employment.
1976
He became “Grama Niladhari” – The “Chief Government Officer” and served his fellow villages in day today administrative matters.
1977
Appointed as the Secretary to Sri Lanka Freedom Party (SLFP) Central Committee’s Polonnaruwa electorate and he played a leading role in 1977 election, and had to undergo hardships due to prevailing post election violence.
1978
He resigned from his job to engage in full time politics.
He attended an International Youth Congress held in Cuba in the same year.
1979
He became the Secretary of Sri Lanka Freedom Party (SLFP), Polonnaruwa District.
He was once again jailed for taking part in protest campaigns against stripping Mrs Sirimavo Bandaranayake’s civic rights.
1980
He was appointed as the SLFP – Polonnaruwa District Organizer to lead the SLFP in district level.
He received a Diploma in Political Science, from the Maxim Gorky Academy in Russia.
1981
Maithri became the Treasurer of “All Island SLFP Youth Organization” which made him elegible to become a Central Committee Member of SLFP (SLFP Politburo), which is the highest level decision making body of the party.
1989
In 1989, Maithri for the first time contested for the general elections from the Polonnaruwa District and became a member of the parliament (MP) on 15th February 1989. He contested under the well-known SLFP symbol “HAND” and this was the last time this symbol was used in an election in Sri Lanka.
1994
In the general elections of 1994, he obtained the highest number of preferential votes from Polonnaruwa District. After this, he was made the Deputy Minister for Irrigation.
1997
He was offered the Cabinet Ministerial portfolio of Mahaweli Development and Parliamentary Affairs and was elected as the Assistant Secretary of the SLFP.
2000
Maithri was elected as the Vice Chairman of the Sri Lanka Freedom Party. (SLFP)
2001
He was elected to the 12th Parliament and in July 2001 Minister Maithripala Sirisena was appointed to the General Secretary of the Sri Lanka Freedom Party and he is still serving in this position to date as the longest serving secretary of the history of Sri Lanka Freedom Party.
2004
In February 2004 Maithripala Sirisena signed the historic memorandum of understanding (MOU) between Sri Lanka Freedom Party (SLFP) and Janatha Vimukthi Peramuna (JVP) with Mr. Tilvin Silva, the secretary of JVP, which lead to the birth of United People’s Freedom Alliance (UPFA) (එක්සත් ජනතා නිදහස් සන්ධානය), the current coalition government.
He was elected to the 13th Parliament of Sri Lanka and was appointed as the Cabinet Minister of Mahaweli, River Basin &amp; Rajarata Development.
He was also appointed as the Leader of the House of Parliament.
2005
In November 2005, Maithripala Sirisena was given two portfolios in the government of Sri Lanka:
The Cabinet Minister of Agriculture, Irrigation and Mahaweli Development.
The Minister of Environment &amp; Natural Resources
2006
Mr Maithripala Sirisena once again signed the memorundum of understanding (MOU) between Sri Lanka Freedom Party (SLFP) and United National Party (UNP) with then chairman of UNP Mr. Malik Samarawickrama. This was an agreement to coorporate with the government to end the civil war.
2007
He then served as the Cabinet Minister for Agricultural Development and Agrarian Services Development.
During this period he was able to introduced the agricultural cultivation drive of the ministry “API WAWAMU – RATA NAGAMU” program which lead to agricultural boom throughout Sri Lanka including accelerated field crop production to sustain the agricultural sector in Sri Lanka.
On 25th January 2007, The Minister initiated and started the Moragahakanda – Kalu Ganga project under the Mahaveli Master Plan, which was a 90 billion Sri Lankan Rupee project. In addition to providing water for irrigation and drinking purposes in North-Central, Northern and Eastern Provinces. Moragahakanda project was also generate 25 MW of power, fulfilling a long-term need for domestic and industrial electricity demand.
In March 2007 the Minister escaped from the terrorist suicide-bombing attempt by the Liberation Tigers of Tamil Eelam (LTTE) in Welikanda. With the information provided by the security information divisions, 3 LTTE carders were on hunt, but they had swallowed cyanide capsules hanged on their neck and killed themselves at the time of capture.
2008
Once again in 09th October 2008 the Minister was targeted by the world’s most ruthless LTTE terrorist group. The attack was carried out when he was returning from the “Wap Magul Ceremony” held in Bandaragama. This time the Minister was miraculously escaped and saved his life to serve the country. Unfortunately 4 people died 15 were injured in this incident.
2009
Since 2005 at the height of the war in Sri Lanka, Mr Maithripala performed as the Acting Defence Minister of Sri Lanka for five times. He was the acting Defence Minister at the final days of the war in Sri Lanka in the absence of the Defence Minister (The President).
2010
Minister Maithripala was elected back in to the parliament in 2010 and was appointed as the Cabinet Minister of Health of the UPFA government.
“Sri Lanka – National Drug Policy Act”
During the period 2010-2014 the minister have taken initiative to introduce back the well-known Bibile “Drug Policy Act” and presented it to the cabinet, fulfilling the need of a National Drug Policy Framework for Sri Lanka. The act is now before the cabinet for approval.
“Pictorial Warnings on Tobacco Packaging”
He fought with the multinational tobacco companies, both in and out of the courts with threats to introduce the “Pictorial Warnings” on the tobacco / cigarette packings to educate the general public to adverse effects of the smoking. During this two and half year of legal battle, he had to sit and wait hours on watching the court proceedings and finally won the case. By January 2015 each and every cigarette pack will carry pictorial warnings on 60% of its serface.
“WHO Recognition”
Received World Health Organization ‘World No Tobacco Day Award 2013’ for his determine action taken to stop tobacco smoking in the country. This is the first time a Sri Lankan was awarded with this honour.
“Harvard Ministerial Leadership in Health Award” 2013
Received ‘2013 Harvard Ministerial Leadership in Health Award’ from Harvard School of Public Health &amp; Kennedy School of Government, United States of America in recognition of his commitment to innovative leadership in his tenure as Minister of Health, Sri Lanka. This is also the first time a Sri Lankan was awarded with this honour.
“World Health Assembly in Geneva”
Rendered leadership to G15 Group of Countries at 2013 World Health Assembly in Geneva and presented the G15 Statement on health related issues to the Assembly.
Was selected as the one of the four Vice-Presidents WHO World Health Assembly 2014.
Empowering Local Medicine Manufactures
A historical decision was taken by the initiative as the Health Minister Mr. Mathripala, obtained the approvals to purchase locally manufactured medicines directly to the ministry of health empowering the local medicine manufactures.
Sri Lanka’s first Government to Government Medicine Procurement Mechanism
Mr Maithripala, as the health minister initiated and commenced Sri Lanka’s first government to government medicine procurement mechanism by singing an agreement with the government of Bangaladesh and Sri Lanka to create an atmosphere to get quality medicine at a better rate to help the people in Sri Lanka who could not afford.
2014 November
2015 Presidential Election – Common Candidate
Minister Maithripala Sirisena was selected and named as the Common Candidate for the upcoming Sri Lankan Presidential Election to be held on 8th January 2015.</t>
  </si>
  <si>
    <t>https://www.instagram.com/marianorajoy</t>
  </si>
  <si>
    <t>Presidente del Gobierno y del PP. Casado, padre de dos hijos. Trabajo por una España con más empleo, oportunidades y bienestar.</t>
  </si>
  <si>
    <t xml:space="preserve"> 01 42 75 80 00</t>
  </si>
  <si>
    <t>ՀՀ Արտաքին գործերի նախարարություն / Ministry of Foreign Affairs of Armenia</t>
  </si>
  <si>
    <t>855) 23 214 441</t>
  </si>
  <si>
    <t>MichelAoun</t>
  </si>
  <si>
    <t>العماد ميشال عون - General Michel Aoun</t>
  </si>
  <si>
    <t>https://www.facebook.com/MichelAoun/</t>
  </si>
  <si>
    <t>Ministry of International Affairs Botswana</t>
  </si>
  <si>
    <t>https://www.facebook.com/Ministry-of-International-Affairs-Botswana-281137451918748/</t>
  </si>
  <si>
    <t>Ministerio de la Presidencia - Bolivia</t>
  </si>
  <si>
    <t>https://www.facebook.com/MinPresidencia/</t>
  </si>
  <si>
    <t>Ciudad La Paz, La Paz, Bolivia</t>
  </si>
  <si>
    <t>http://www.vlada.si</t>
  </si>
  <si>
    <t>MOFA OMAN</t>
  </si>
  <si>
    <t>Loretánské náměstí 5, 118 00 Prague, Czech Republic</t>
  </si>
  <si>
    <t>Bienvenue sur la page officielle de la Présidence de la République Togolaise</t>
  </si>
  <si>
    <t>www.president.ie</t>
  </si>
  <si>
    <t>Facebook page for Áras an Uachtaráin, providing updates about the work of President Michael D. Higgins. 
Policy: http://www.president.ie/en/about/social</t>
  </si>
  <si>
    <t>https://www.facebook.com/PresidentIRL/</t>
  </si>
  <si>
    <t>Fáilte chuig leathnach Facebook Áras an Uachtaráin, áit a mbeidh teacht ar eolas faoi obair an Uachtaráin, Micheál D. Ó hUigínn
Welcome to the Facebook page for Áras an Uachtaráin, providing updates about the work of President Michael D. Higgins.
We would like this page to be enjoyable for all. Please note that any offensive or inappropriate comments will be deleted and the user may be blocked. 
Policy: http://www.president.ie/en/about/social</t>
  </si>
  <si>
    <t>01 617 1000</t>
  </si>
  <si>
    <t>Áras an Uachtaráin, Phoenix Park, Dublin 8</t>
  </si>
  <si>
    <t>Saad Hariri</t>
  </si>
  <si>
    <t xml:space="preserve">The Office of the President of the Republic of Seychelles presents news concerning President Danny Faure and Seychelles national news.
</t>
  </si>
  <si>
    <t>The President of the Republic of Seychelles
Danny Antoine Rollen Faure was born on 8th May, 1962 to Seychellois parents in Kilembe, Uganda. He has four children.
He completed his primary and secondary education in Seychelles and continued in Cuba where he graduated with a Degree in Political Science.
Upon his return to Seychelles in 1985, he worked as an Assistant Curriculum Officer with the Ministry of Education and Lecturer at both the National Youth Service and the Seychelles Polytechnic. In June 1989, he was appointed Director of the National Youth Service.
As a young man, Danny Faure worked with the SPPF organization. He became the Chairman of its Youth Wing and was elected as a member of the Central Committee of the Party. In June 2009 he was appointed Secretary General of the Party.
With the return of Multi-Party in Seychelles in 1993, Danny Faure was appointed Leader of Government Business of the majority Party in the National Assembly, a post he served for 5 years (from 1993 to 1998).
Danny Faure was first appointed as Minister in April 1998 when he became Minister for Education, In 2001, he assumed the role of Minister for Education and Youth, which he held until July 2006. In 2006, Mr Faure was appointed Minister for Finance.
He was assigned portfolio responsibilities for Trade in July 2007 and Industries in August 2009.
Danny Faure was appointed Designated Minister in April 2004 up to June 2010.
He has overseen the implementation of the first generation of reforms under the macro economic reform programme which started in October 2008. He continues to direct the second generation of reforms as part of the on-going economic programme.
In July 2010, Mr Faure was appointed Vice-President holding Ministerial portfolios for Finance and Trade, Public Administration, and Information Communication Technology.
On 16th October 2016, Mr. Faure was sworn in as President of the Republic of Seychelles</t>
  </si>
  <si>
    <t>PR Thai Government</t>
  </si>
  <si>
    <t>tzmagufuli</t>
  </si>
  <si>
    <t>Team Dr.John P. Magufuli</t>
  </si>
  <si>
    <t>http://www.chatoyetu.blogspot.com</t>
  </si>
  <si>
    <t>MY PRESIDENT 2015-2020
John Pombe Magufuli (amezaliwa 29 Oktoba 1959) ni mwanasiasa Mtanzania wa CCM ambaye aliwahi kutumikia Baraza la Mawaziri la TZ</t>
  </si>
  <si>
    <t>John Pombe Magufuli (amezaliwa 29 Oktoba 1959) ni mwanasiasa Mtanzania wa CCM ambaye aliwahi kutumikia Baraza la Mawaziri la Tanzania, kama Waziri wa Ujenzi tangu 2010. Hapo awali alikuwa Naibu Waziri wa Ujenzi tangu 1995 hadi 2000, Waziri wa Ujenzi tangu 2000 hadi 2006, Waziri wa Ardhi na Makazi tangu 2006 hadi 2008, na Waziri wa Mifugo na Uvuvi kutoka 2008 hadi 2010. Aliwahi kuwa Mbunge wa jimbo la Chato tangu mwaka 1995. Yeye ndiye mgombea Urais wa CCM katika uchaguzi mkuu wa 2015.</t>
  </si>
  <si>
    <t>https://www.facebook.com/tzmagufuli/</t>
  </si>
  <si>
    <t>33 92 00 00</t>
  </si>
  <si>
    <t>https://ir.usembassy.gov/fa/</t>
  </si>
  <si>
    <t>UD på sosiale medier:
Twitter: http://www.twitter.com/utenriksdept og http://www.twitter.com/norwayMFA
Instagram:
https://www.instagram.com/utenriksdept/?hl=en
Flickr: http://www.flickr.com/utenriksdept
Facebook: http://www.facebook.com/utenriksdepartementet</t>
  </si>
  <si>
    <t>Santiago, Chile</t>
  </si>
  <si>
    <t>Prime Minister Youssef Chahed</t>
  </si>
  <si>
    <t>https://www.facebook.com/Youssefchahedofficiel/</t>
  </si>
  <si>
    <t>https://facebook.com/Youssefchahedofficiel</t>
  </si>
  <si>
    <t>Youssefchahedofficiel</t>
  </si>
  <si>
    <t>يوسف الشاهد Youssef Chahed</t>
  </si>
  <si>
    <t xml:space="preserve">الصفحة الرسميّة للسيّد يوسف الشاهد   </t>
  </si>
  <si>
    <t>http://da-medvedev.ru/</t>
  </si>
  <si>
    <t>http://twitter.com/foreignoffice</t>
  </si>
  <si>
    <t>(61) 2030-6161</t>
  </si>
  <si>
    <t>KerstiKaljulaid</t>
  </si>
  <si>
    <t>Kersti Kaljulaid</t>
  </si>
  <si>
    <t>https://www.president.ee/et/</t>
  </si>
  <si>
    <t>Kersti Kaljulaid on Eesti Vabariigi president.</t>
  </si>
  <si>
    <t>Teenistuskäik
alates 2016 Eesti Vabariigi president
2004-2016 Euroopa Kontrollikoja Liige
2002-2004 Eesti Energia Iru Elektrijaama finantsdirektor ja direktor
1999-2002 peaminister Mart Laari majandusnõunik
1998–1999 Hansabank Markets, investeerimispangandus, associate
1997–1998 Hoiupanga Investeeringute AS, projektijuht
1996–1997 Eesti Telefon AS, müügijuht
Haridus
2007–... Tartu Ülikool, doktoriõpe
1998–2001 Tartu Ülikool, Majandusteaduskond, MBA
1987–1992 Tartu Ülikool, loodusteaduskond
Teaduskraadid
Kersti Kaljulaid, magistrikraad, 2001, (juh) Toomas Haldma, Riigi poolt asutatud sihtasutuste juhtimissüsteemi täiustamine, Tartu Ülikool.
Kersti Kaljulaid, doktorant [õpingud katkestatud], (juh) Toomas Haldma; Jüri Sepp, Riigieelarvelise rahastamise ja aruandluse metoodika mõju teadustegevuse mitmekesisusele, Tartu Ülikool.
Ühiskondlikud organisatsioonid
asutamisest kuni aastani 2002 - Eesti Geenivaramu Nõukogu liige
2009-2011 Tartu Ülikooli Kuratooriumi liige
alates 2012 Tartu Ülikooli Nõukogu esimees
2002-2004 Kuku raadio Keskpäevatunni saate kaasautor
2007-2016 Kuku raadio Eurominutite toimetaja
Ordenid
2016 Riigivapi teenetemärgi kett
Keeled
eesti, inglise, prantsuse, soome, saksa</t>
  </si>
  <si>
    <t>https://www.facebook.com/KerstiKaljulaid/</t>
  </si>
  <si>
    <t>A. Weizenbergi 39, 15050 Tallinn</t>
  </si>
  <si>
    <t>Վազգեն Սարգսյան 3, Կառավարական տուն #2, Արտաքին գործերի նախարարություն, 0010 Yerevan, Armenia</t>
  </si>
  <si>
    <t>TheMinistry is headed by Hon. Dr. Pelonomi Venson-Moitoi and it is  located in the government enclave behind the parliament. We operate from 0730hrs to 1630hrs from Monday to Friday and on weekends if we have official duty/visits/activities.</t>
  </si>
  <si>
    <t>+94 11 2 325371</t>
  </si>
  <si>
    <t>03-3580-3311</t>
  </si>
  <si>
    <t>http://www.mofa.gov.bd</t>
  </si>
  <si>
    <t>Jr. Carabaya Cdra. 1 S/N, Jr. Carabaya Cdr Lima, Peru</t>
  </si>
  <si>
    <t>Bienvenue sur la Page Facebook  officielle de la Présidence de la République du Bénin.
La charte d'utilisation de cette page est disponible sur le lien https://web.facebook.com/presidencebenin/app/190322544333196/ 
Cette page vous informe sur les activités du Président de la République son Excellence Patrice Talon ainsi que les activités de la Présidence de la République du Bénin.
Rejoignez nous sur les médias sociaux:
Facebook : web.facebook.com/presidencebenin
Twitter: twitter.com/PresidenceBenin
Flickr : www.flickr.com/photos/presidencebenin/
Périscope : www.periscope.tv/PresidenceBenin
Soundcloud : https://soundcloud.com/presidencebenin 
* Cette page Facebook est gérée par le Service de Communication Digitale au sein de la Direction de Communication de la Présidence du Bénin.
Contact : communicationdigitale@presidence.bj *</t>
  </si>
  <si>
    <t>Prešernova cesta 25, 1000 Ljubljana, Slovenia</t>
  </si>
  <si>
    <t>https://facebook.com/alscosta</t>
  </si>
  <si>
    <t>President Evo Morales</t>
  </si>
  <si>
    <t>Facebook Pages</t>
  </si>
  <si>
    <t>Prime Minister Paolo Gentiloni</t>
  </si>
  <si>
    <t>Foreign Minister Angelino Alfano</t>
  </si>
  <si>
    <t>https://facebook.com/angelinoalfano.it</t>
  </si>
  <si>
    <t>Foreign Minister Anders Samuelsen</t>
  </si>
  <si>
    <t>https://facebook.com/Saulius-Skvernelis-814777171988967</t>
  </si>
  <si>
    <t>Prime Minister Saulius Skvernelis</t>
  </si>
  <si>
    <t>Prime Minister Jüri Ratas</t>
  </si>
  <si>
    <t>ratasjuri</t>
  </si>
  <si>
    <t>President Nana Akufo-Addo</t>
  </si>
  <si>
    <t>https://facebook.com/USAgov</t>
  </si>
  <si>
    <t>USAgov</t>
  </si>
  <si>
    <t>https://facebook.com/bdbnepal</t>
  </si>
  <si>
    <t>https://facebook.com/CancilleriaARG</t>
  </si>
  <si>
    <t>https://facebook.com/egovkw</t>
  </si>
  <si>
    <t>https://facebook.com/Hilda-Heine-%C3%B1an-Aur-225121217531031</t>
  </si>
  <si>
    <t>https://facebook.com/ministeriebz</t>
  </si>
  <si>
    <t>https://facebook.com/MOFA.IQ</t>
  </si>
  <si>
    <t>https://facebook.com/mofaisb</t>
  </si>
  <si>
    <t>https://facebook.com/nakufoaddo</t>
  </si>
  <si>
    <t>https://facebook.com/palazzochigi.it</t>
  </si>
  <si>
    <t>https://facebook.com/ratasjuri</t>
  </si>
  <si>
    <t>https://facebook.com/Sheikh-Mohamed-bin-Zayed-bin-Sultan-Al-Nahyan-1631139903865661</t>
  </si>
  <si>
    <t>https://facebook.com/tcbasbakan</t>
  </si>
  <si>
    <t>https://facebook.com/valdibasmaja</t>
  </si>
  <si>
    <t>https://facebook.com/SLGovernment</t>
  </si>
  <si>
    <t>https://facebook.com/Jorge-Carlos-Fonseca-234404863297613</t>
  </si>
  <si>
    <t>https://facebook.com/Sultan-of-Brunei-Hassanal-Bolkiah-203783963024091</t>
  </si>
  <si>
    <t>https://facebook.com/aagbenonci</t>
  </si>
  <si>
    <t>https://facebook.com/AndersSamuelsenLA</t>
  </si>
  <si>
    <t>https://facebook.com/Belgium.be</t>
  </si>
  <si>
    <t>https://facebook.com/denmark.dk</t>
  </si>
  <si>
    <t>https://facebook.com/eGovernment.Center.Moldova</t>
  </si>
  <si>
    <t>https://facebook.com/EmirOfQatar</t>
  </si>
  <si>
    <t>https://facebook.com/Federal-Government-Communication-Affairs-Office-of-Ethiopia-349142568566343</t>
  </si>
  <si>
    <t>https://facebook.com/ghanapresident</t>
  </si>
  <si>
    <t>https://facebook.com/GovernodeCaboVerde</t>
  </si>
  <si>
    <t>https://facebook.com/hellosarkar.np</t>
  </si>
  <si>
    <t>https://facebook.com/MAECHaiti</t>
  </si>
  <si>
    <t>https://facebook.com/Office-of-the-Prime-Minister-Belize-317057388365804</t>
  </si>
  <si>
    <t>https://facebook.com/PresidentofMalta</t>
  </si>
  <si>
    <t>https://facebook.com/Primature-Lapani-Mahazoarivo-727643947321702</t>
  </si>
  <si>
    <t>https://facebook.com/primeministersofficepng</t>
  </si>
  <si>
    <t>https://facebook.com/Vbainimarama</t>
  </si>
  <si>
    <t>https://facebook.com/VladaRepublikeSlovenije</t>
  </si>
  <si>
    <t>https://facebook.com/www.foreignaffairs.gov.ng</t>
  </si>
  <si>
    <t>https://facebook.com/CancilleriaBolivia</t>
  </si>
  <si>
    <t>https://facebook.com/CancelariaRM</t>
  </si>
  <si>
    <t>https://facebook.com/OPMTT</t>
  </si>
  <si>
    <t>https://facebook.com/mfaSlovenia</t>
  </si>
  <si>
    <t>https://facebook.com/sknismedia</t>
  </si>
  <si>
    <t>https://facebook.com/Botswana.Government</t>
  </si>
  <si>
    <t>https://facebook.com/Diplomatie.Belgium</t>
  </si>
  <si>
    <t>https://facebook.com/supportfrancinebaron</t>
  </si>
  <si>
    <t>https://facebook.com/GISgrenada</t>
  </si>
  <si>
    <t>https://facebook.com/govbrunei</t>
  </si>
  <si>
    <t>https://facebook.com/haider.alabadi.iraq</t>
  </si>
  <si>
    <t>https://facebook.com/MIREXR</t>
  </si>
  <si>
    <t>https://facebook.com/CancilleriaCostaRica</t>
  </si>
  <si>
    <t>https://facebook.com/MFAKosovo</t>
  </si>
  <si>
    <t>https://facebook.com/Presidence.bf</t>
  </si>
  <si>
    <t>nakufoaddo</t>
  </si>
  <si>
    <t>Codename</t>
  </si>
  <si>
    <t>URL</t>
  </si>
  <si>
    <t>Shares</t>
  </si>
  <si>
    <t>All Interaction Rate</t>
  </si>
  <si>
    <t>Statuses</t>
  </si>
  <si>
    <t>Facebook Videos</t>
  </si>
  <si>
    <t>Other Videos</t>
  </si>
  <si>
    <t>Photo Posts</t>
  </si>
  <si>
    <t>Link Posts</t>
  </si>
  <si>
    <t>Status Posts</t>
  </si>
  <si>
    <t>Other Video Posts</t>
  </si>
  <si>
    <t>Posts Per Day</t>
  </si>
  <si>
    <t>Page Growth</t>
  </si>
  <si>
    <t>Page Growth %</t>
  </si>
  <si>
    <t>http://www.facebook.com/7303343452</t>
  </si>
  <si>
    <t>http://www.facebook.com/362213890520498</t>
  </si>
  <si>
    <t>http://www.facebook.com/725938450778870</t>
  </si>
  <si>
    <t>http://www.facebook.com/656609511072322</t>
  </si>
  <si>
    <t>--</t>
  </si>
  <si>
    <t>No posts in this timeframe</t>
  </si>
  <si>
    <t>http://www.facebook.com/377794852284701</t>
  </si>
  <si>
    <t>http://www.facebook.com/191185443558</t>
  </si>
  <si>
    <t>http://www.facebook.com/171989386301782</t>
  </si>
  <si>
    <t>http://www.facebook.com/1560000967544721</t>
  </si>
  <si>
    <t>http://www.facebook.com/351127815011487</t>
  </si>
  <si>
    <t>http://www.facebook.com/156972114447182</t>
  </si>
  <si>
    <t>http://www.facebook.com/165258066922374</t>
  </si>
  <si>
    <t>http://www.facebook.com/152476488106875</t>
  </si>
  <si>
    <t>http://www.facebook.com/1409638192624686</t>
  </si>
  <si>
    <t>http://www.facebook.com/1462957374004775</t>
  </si>
  <si>
    <t>http://www.facebook.com/854868407872833</t>
  </si>
  <si>
    <t>Anders Samuelsen</t>
  </si>
  <si>
    <t>AndersSamuelsenLA</t>
  </si>
  <si>
    <t>http://www.facebook.com/44833802365</t>
  </si>
  <si>
    <t>http://www.facebook.com/633028036739134</t>
  </si>
  <si>
    <t>http://www.facebook.com/162852047168915</t>
  </si>
  <si>
    <t>http://www.facebook.com/285300171481841</t>
  </si>
  <si>
    <t>http://www.facebook.com/160906857259563</t>
  </si>
  <si>
    <t>http://www.facebook.com/59788447049</t>
  </si>
  <si>
    <t>Angelino Alfano</t>
  </si>
  <si>
    <t>angelinoalfano.it</t>
  </si>
  <si>
    <t>http://www.facebook.com/111297698903150</t>
  </si>
  <si>
    <t>http://www.facebook.com/397397420360311</t>
  </si>
  <si>
    <t>http://www.facebook.com/130947963597367</t>
  </si>
  <si>
    <t>http://www.facebook.com/1437472433179147</t>
  </si>
  <si>
    <t>http://www.facebook.com/654071824617365</t>
  </si>
  <si>
    <t>http://www.facebook.com/1391577011145488</t>
  </si>
  <si>
    <t>http://www.facebook.com/479586265526455</t>
  </si>
  <si>
    <t>http://www.facebook.com/204629649613285</t>
  </si>
  <si>
    <t>http://www.facebook.com/261199903908113</t>
  </si>
  <si>
    <t>http://www.facebook.com/34246523291</t>
  </si>
  <si>
    <t>http://www.facebook.com/9953503420</t>
  </si>
  <si>
    <t>http://www.facebook.com/331636230253548</t>
  </si>
  <si>
    <t>http://www.facebook.com/237282353035609</t>
  </si>
  <si>
    <t>http://www.facebook.com/130463517052938</t>
  </si>
  <si>
    <t>http://www.facebook.com/186047968105357</t>
  </si>
  <si>
    <t>bdbnepal</t>
  </si>
  <si>
    <t>http://www.facebook.com/888582717905505</t>
  </si>
  <si>
    <t>http://www.facebook.com/466511450155186</t>
  </si>
  <si>
    <t>Belgium.be</t>
  </si>
  <si>
    <t>http://www.facebook.com/102414209814612</t>
  </si>
  <si>
    <t>http://www.facebook.com/1586031578327143</t>
  </si>
  <si>
    <t>http://www.facebook.com/658688464161726</t>
  </si>
  <si>
    <t>http://www.facebook.com/147688808616818</t>
  </si>
  <si>
    <t>http://www.facebook.com/7972991316</t>
  </si>
  <si>
    <t>http://www.facebook.com/12464967858</t>
  </si>
  <si>
    <t>http://www.facebook.com/148228411926492</t>
  </si>
  <si>
    <t>http://www.facebook.com/915488088507492</t>
  </si>
  <si>
    <t>http://www.facebook.com/768905426534529</t>
  </si>
  <si>
    <t>http://www.facebook.com/389212394428058</t>
  </si>
  <si>
    <t>http://www.facebook.com/112641568862846</t>
  </si>
  <si>
    <t>http://www.facebook.com/221774737965548</t>
  </si>
  <si>
    <t>http://www.facebook.com/1063553617040366</t>
  </si>
  <si>
    <t>CancilleriaBolivia</t>
  </si>
  <si>
    <t>http://www.facebook.com/197354553936406</t>
  </si>
  <si>
    <t>http://www.facebook.com/594700783880121</t>
  </si>
  <si>
    <t>http://www.facebook.com/646166248837356</t>
  </si>
  <si>
    <t>http://www.facebook.com/121482864578203</t>
  </si>
  <si>
    <t>http://www.facebook.com/266323883556244</t>
  </si>
  <si>
    <t>http://www.facebook.com/183933691687868</t>
  </si>
  <si>
    <t>http://www.facebook.com/124162787610223</t>
  </si>
  <si>
    <t>http://www.facebook.com/148653345178694</t>
  </si>
  <si>
    <t>http://www.facebook.com/545415852301140</t>
  </si>
  <si>
    <t>http://www.facebook.com/805696909550375</t>
  </si>
  <si>
    <t>http://www.facebook.com/270219276428374</t>
  </si>
  <si>
    <t>http://www.facebook.com/616973818381805</t>
  </si>
  <si>
    <t>http://www.facebook.com/103825446351555</t>
  </si>
  <si>
    <t>http://www.facebook.com/400709789941558</t>
  </si>
  <si>
    <t>http://www.facebook.com/457396834454575</t>
  </si>
  <si>
    <t>http://www.facebook.com/136751733064498</t>
  </si>
  <si>
    <t>http://www.facebook.com/132159696835960</t>
  </si>
  <si>
    <t>http://www.facebook.com/461894943928032</t>
  </si>
  <si>
    <t>http://www.facebook.com/381131031998248</t>
  </si>
  <si>
    <t>http://www.facebook.com/278767150576</t>
  </si>
  <si>
    <t>http://www.facebook.com/112448782168086</t>
  </si>
  <si>
    <t>http://www.facebook.com/47735348138</t>
  </si>
  <si>
    <t>Denmark.dk</t>
  </si>
  <si>
    <t>denmark.dk</t>
  </si>
  <si>
    <t>http://www.facebook.com/34906136673</t>
  </si>
  <si>
    <t>http://www.facebook.com/569663466424342</t>
  </si>
  <si>
    <t>http://www.facebook.com/138743156280527</t>
  </si>
  <si>
    <t>http://www.facebook.com/268916186486576</t>
  </si>
  <si>
    <t>http://www.facebook.com/138124926280821</t>
  </si>
  <si>
    <t>http://www.facebook.com/138282352917817</t>
  </si>
  <si>
    <t>http://www.facebook.com/146568755389260</t>
  </si>
  <si>
    <t>http://www.facebook.com/523765691070551</t>
  </si>
  <si>
    <t>http://www.facebook.com/175517041850</t>
  </si>
  <si>
    <t>http://www.facebook.com/175517589160635</t>
  </si>
  <si>
    <t>http://www.facebook.com/153080620724</t>
  </si>
  <si>
    <t>http://www.facebook.com/69628229716</t>
  </si>
  <si>
    <t>http://www.facebook.com/199534880234733</t>
  </si>
  <si>
    <t>http://www.facebook.com/618821491465361</t>
  </si>
  <si>
    <t>http://www.facebook.com/163996706947043</t>
  </si>
  <si>
    <t>http://www.facebook.com/124256077730891</t>
  </si>
  <si>
    <t>http://www.facebook.com/285442564821627</t>
  </si>
  <si>
    <t>http://www.facebook.com/1718310378413553</t>
  </si>
  <si>
    <t>http://www.facebook.com/827021447354082</t>
  </si>
  <si>
    <t>http://www.facebook.com/138734771522</t>
  </si>
  <si>
    <t>E-Government Center Moldova</t>
  </si>
  <si>
    <t>eGovernment.Center.Moldova</t>
  </si>
  <si>
    <t>http://www.facebook.com/110656565663239</t>
  </si>
  <si>
    <t>Kuwait Government Online</t>
  </si>
  <si>
    <t>egovkw</t>
  </si>
  <si>
    <t>http://www.facebook.com/427208230629740</t>
  </si>
  <si>
    <t>http://www.facebook.com/181040572096365</t>
  </si>
  <si>
    <t>http://www.facebook.com/172162876165023</t>
  </si>
  <si>
    <t>http://www.facebook.com/285829565349</t>
  </si>
  <si>
    <t>http://www.facebook.com/310591779028211</t>
  </si>
  <si>
    <t>Sheikh Tamim bin Hamad bin Khalifa Al Thani, Emir of Qatar</t>
  </si>
  <si>
    <t>EmirOfQatar</t>
  </si>
  <si>
    <t>http://www.facebook.com/758061434216773</t>
  </si>
  <si>
    <t>http://www.facebook.com/37107394336</t>
  </si>
  <si>
    <t>http://www.facebook.com/56800396831</t>
  </si>
  <si>
    <t>http://www.facebook.com/1551160231765885</t>
  </si>
  <si>
    <t>http://www.facebook.com/147547541961576</t>
  </si>
  <si>
    <t>http://www.facebook.com/107898832590939</t>
  </si>
  <si>
    <t>http://www.facebook.com/543228812481111</t>
  </si>
  <si>
    <t>http://www.facebook.com/158402677555776</t>
  </si>
  <si>
    <t>http://www.facebook.com/154329207930803</t>
  </si>
  <si>
    <t>Faure Essozimna Gnassingbé</t>
  </si>
  <si>
    <t>http://www.facebook.com/1559909144238576</t>
  </si>
  <si>
    <t>http://www.facebook.com/207532522613024</t>
  </si>
  <si>
    <t>http://www.facebook.com/582040878482949</t>
  </si>
  <si>
    <t>http://www.facebook.com/201295699880814</t>
  </si>
  <si>
    <t>http://www.facebook.com/295684780534218</t>
  </si>
  <si>
    <t>http://www.facebook.com/325962400775801</t>
  </si>
  <si>
    <t>http://www.facebook.com/284808960629</t>
  </si>
  <si>
    <t>http://www.facebook.com/654796897864059</t>
  </si>
  <si>
    <t>http://www.facebook.com/250725931675</t>
  </si>
  <si>
    <t>http://www.facebook.com/139411502915</t>
  </si>
  <si>
    <t>http://www.facebook.com/414266168695509</t>
  </si>
  <si>
    <t>http://www.facebook.com/75042608259</t>
  </si>
  <si>
    <t>http://www.facebook.com/140457539356382</t>
  </si>
  <si>
    <t>http://www.facebook.com/509872415814068</t>
  </si>
  <si>
    <t>http://www.facebook.com/1451898645041985</t>
  </si>
  <si>
    <t>http://www.facebook.com/207368492653070</t>
  </si>
  <si>
    <t>http://www.facebook.com/137784719692774</t>
  </si>
  <si>
    <t>Ghana President.Com</t>
  </si>
  <si>
    <t>ghanapresident</t>
  </si>
  <si>
    <t>http://www.facebook.com/179281409080786</t>
  </si>
  <si>
    <t>http://www.facebook.com/271334199698066</t>
  </si>
  <si>
    <t>GISgrenada</t>
  </si>
  <si>
    <t>http://www.facebook.com/1886973244861393</t>
  </si>
  <si>
    <t>http://www.facebook.com/917070731643123</t>
  </si>
  <si>
    <t>http://www.facebook.com/111622312251281</t>
  </si>
  <si>
    <t>http://www.facebook.com/365201546985565</t>
  </si>
  <si>
    <t>http://www.facebook.com/114405611929952</t>
  </si>
  <si>
    <t>http://www.facebook.com/695267943936892</t>
  </si>
  <si>
    <t>http://www.facebook.com/149350998433745</t>
  </si>
  <si>
    <t>http://www.facebook.com/244922065530890</t>
  </si>
  <si>
    <t>http://www.facebook.com/392341217527576</t>
  </si>
  <si>
    <t>http://www.facebook.com/1051369518213551</t>
  </si>
  <si>
    <t>http://www.facebook.com/308078472732607</t>
  </si>
  <si>
    <t>http://www.facebook.com/109555293685</t>
  </si>
  <si>
    <t>http://www.facebook.com/907217095972405</t>
  </si>
  <si>
    <t>http://www.facebook.com/430374277000520</t>
  </si>
  <si>
    <t>http://www.facebook.com/764871770212314</t>
  </si>
  <si>
    <t>http://www.facebook.com/194109891221</t>
  </si>
  <si>
    <t>http://www.facebook.com/1716615188626933</t>
  </si>
  <si>
    <t>http://www.facebook.com/172080442806951</t>
  </si>
  <si>
    <t>http://www.facebook.com/220638891327386</t>
  </si>
  <si>
    <t>http://www.facebook.com/140660295978242</t>
  </si>
  <si>
    <t>http://www.facebook.com/381162145310807</t>
  </si>
  <si>
    <t>http://www.facebook.com/527591730598198</t>
  </si>
  <si>
    <t>http://www.facebook.com/175562602481188</t>
  </si>
  <si>
    <t>http://www.facebook.com/380117675350607</t>
  </si>
  <si>
    <t>http://www.facebook.com/304735519648377</t>
  </si>
  <si>
    <t>http://www.facebook.com/319803971471711</t>
  </si>
  <si>
    <t>http://www.facebook.com/1441586412798994</t>
  </si>
  <si>
    <t>http://www.facebook.com/204803838632</t>
  </si>
  <si>
    <t>http://www.facebook.com/215598455177188</t>
  </si>
  <si>
    <t>http://www.facebook.com/215332295195253</t>
  </si>
  <si>
    <t>http://www.facebook.com/111817545816963</t>
  </si>
  <si>
    <t>http://www.facebook.com/458002890974368</t>
  </si>
  <si>
    <t>http://www.facebook.com/280838772065151</t>
  </si>
  <si>
    <t>http://www.facebook.com/84820452907</t>
  </si>
  <si>
    <t>http://www.facebook.com/214727188594831</t>
  </si>
  <si>
    <t>http://www.facebook.com/186872247998431</t>
  </si>
  <si>
    <t>http://www.facebook.com/111975152184324</t>
  </si>
  <si>
    <t>http://www.facebook.com/235203420315</t>
  </si>
  <si>
    <t>http://www.facebook.com/152559474759057</t>
  </si>
  <si>
    <t>http://www.facebook.com/315205968664105</t>
  </si>
  <si>
    <t>http://www.facebook.com/124149704266450</t>
  </si>
  <si>
    <t>http://www.facebook.com/228149393899601</t>
  </si>
  <si>
    <t>http://www.facebook.com/101995411316</t>
  </si>
  <si>
    <t>http://www.facebook.com/378812692222909</t>
  </si>
  <si>
    <t>http://www.facebook.com/164854100591430</t>
  </si>
  <si>
    <t>http://www.facebook.com/125578787475414</t>
  </si>
  <si>
    <t>http://www.facebook.com/126166890746726</t>
  </si>
  <si>
    <t>http://www.facebook.com/119541591451378</t>
  </si>
  <si>
    <t>http://www.facebook.com/676042872452848</t>
  </si>
  <si>
    <t>http://www.facebook.com/463915156977725</t>
  </si>
  <si>
    <t>http://www.facebook.com/158778054194010</t>
  </si>
  <si>
    <t>http://www.facebook.com/330825443903</t>
  </si>
  <si>
    <t>http://www.facebook.com/390581294464059</t>
  </si>
  <si>
    <t>http://www.facebook.com/63887949740</t>
  </si>
  <si>
    <t>http://www.facebook.com/124300620957187</t>
  </si>
  <si>
    <t>http://www.facebook.com/1538045659818254</t>
  </si>
  <si>
    <t>http://www.facebook.com/94145343128</t>
  </si>
  <si>
    <t>http://www.facebook.com/21751825648</t>
  </si>
  <si>
    <t>http://www.facebook.com/643891235622328</t>
  </si>
  <si>
    <t>http://www.facebook.com/210809715619097</t>
  </si>
  <si>
    <t>http://www.facebook.com/176114889652</t>
  </si>
  <si>
    <t>http://www.facebook.com/172187716250472</t>
  </si>
  <si>
    <t>http://www.facebook.com/129072070462574</t>
  </si>
  <si>
    <t>http://www.facebook.com/1777496589189799</t>
  </si>
  <si>
    <t>http://www.facebook.com/265358923534301</t>
  </si>
  <si>
    <t>http://www.facebook.com/653333608105875</t>
  </si>
  <si>
    <t>http://www.facebook.com/783570835075962</t>
  </si>
  <si>
    <t>http://www.facebook.com/43817623259</t>
  </si>
  <si>
    <t>http://www.facebook.com/632184113535510</t>
  </si>
  <si>
    <t>http://www.facebook.com/197723140250623</t>
  </si>
  <si>
    <t>http://www.facebook.com/201552226536475</t>
  </si>
  <si>
    <t>http://www.facebook.com/308923469174619</t>
  </si>
  <si>
    <t>http://www.facebook.com/311047710246</t>
  </si>
  <si>
    <t>http://www.facebook.com/120370174702378</t>
  </si>
  <si>
    <t>http://www.facebook.com/187734237903479</t>
  </si>
  <si>
    <t>http://www.facebook.com/133515803374007</t>
  </si>
  <si>
    <t>http://www.facebook.com/194997200845312</t>
  </si>
  <si>
    <t>http://www.facebook.com/451590061585930</t>
  </si>
  <si>
    <t>http://www.facebook.com/58140803787</t>
  </si>
  <si>
    <t>http://www.facebook.com/125845680811480</t>
  </si>
  <si>
    <t>حكومة الوفاق الوطني Government of National Accord</t>
  </si>
  <si>
    <t>http://www.facebook.com/292681774185269</t>
  </si>
  <si>
    <t>http://www.facebook.com/199246583438202</t>
  </si>
  <si>
    <t>http://www.facebook.com/84922261157</t>
  </si>
  <si>
    <t>http://www.facebook.com/320573468033795</t>
  </si>
  <si>
    <t>http://www.facebook.com/151413047167</t>
  </si>
  <si>
    <t>http://www.facebook.com/1080289688671245</t>
  </si>
  <si>
    <t>http://www.facebook.com/1729908247232994</t>
  </si>
  <si>
    <t>http://www.facebook.com/165419960194263</t>
  </si>
  <si>
    <t>http://www.facebook.com/335093592325</t>
  </si>
  <si>
    <t>http://www.facebook.com/365053451326</t>
  </si>
  <si>
    <t>http://www.facebook.com/195859813933854</t>
  </si>
  <si>
    <t>http://www.facebook.com/53772921578</t>
  </si>
  <si>
    <t>http://www.facebook.com/276990372506357</t>
  </si>
  <si>
    <t>http://www.facebook.com/703315986384134</t>
  </si>
  <si>
    <t>http://www.facebook.com/271568432950768</t>
  </si>
  <si>
    <t>http://www.facebook.com/55432788477</t>
  </si>
  <si>
    <t>http://www.facebook.com/336581866363618</t>
  </si>
  <si>
    <t>http://www.facebook.com/116635611711738</t>
  </si>
  <si>
    <t>http://www.facebook.com/392491680944925</t>
  </si>
  <si>
    <t>http://www.facebook.com/274221069302547</t>
  </si>
  <si>
    <t>http://www.facebook.com/205600472799490</t>
  </si>
  <si>
    <t>http://www.facebook.com/362270867231942</t>
  </si>
  <si>
    <t>http://www.facebook.com/116165885078864</t>
  </si>
  <si>
    <t>http://www.facebook.com/1452146435004240</t>
  </si>
  <si>
    <t>Azərbaycan Xarici İşlər Nazirliyi/Ministry of Foreign Affairs of Azerbaijan</t>
  </si>
  <si>
    <t>http://www.facebook.com/853918944626634</t>
  </si>
  <si>
    <t>http://www.facebook.com/114389605256910</t>
  </si>
  <si>
    <t>http://www.facebook.com/130027683735853</t>
  </si>
  <si>
    <t>http://www.facebook.com/1452664425061142</t>
  </si>
  <si>
    <t>http://www.facebook.com/623401301020450</t>
  </si>
  <si>
    <t>http://www.facebook.com/99707100898</t>
  </si>
  <si>
    <t>http://www.facebook.com/381324148664845</t>
  </si>
  <si>
    <t>http://www.facebook.com/192351567442456</t>
  </si>
  <si>
    <t>http://www.facebook.com/201498066548054</t>
  </si>
  <si>
    <t>http://www.facebook.com/125765950927218</t>
  </si>
  <si>
    <t>http://www.facebook.com/127460367301028</t>
  </si>
  <si>
    <t>http://www.facebook.com/140650099320596</t>
  </si>
  <si>
    <t>http://www.facebook.com/1375446046034287</t>
  </si>
  <si>
    <t>http://www.facebook.com/437580819645990</t>
  </si>
  <si>
    <t>http://www.facebook.com/435464776514810</t>
  </si>
  <si>
    <t>http://www.facebook.com/264205757012206</t>
  </si>
  <si>
    <t>http://www.facebook.com/125892241827</t>
  </si>
  <si>
    <t>http://www.facebook.com/204768989731178</t>
  </si>
  <si>
    <t>http://www.facebook.com/395976420455839</t>
  </si>
  <si>
    <t>ministeriebz</t>
  </si>
  <si>
    <t>http://www.facebook.com/1489571818020153</t>
  </si>
  <si>
    <t>http://www.facebook.com/213466858671751</t>
  </si>
  <si>
    <t>http://www.facebook.com/166039216791132</t>
  </si>
  <si>
    <t>http://www.facebook.com/712490972125162</t>
  </si>
  <si>
    <t>http://www.facebook.com/369798966373666</t>
  </si>
  <si>
    <t>http://www.facebook.com/221347191575450</t>
  </si>
  <si>
    <t>Ministerio de Relaciones Exteriores República Dominicana</t>
  </si>
  <si>
    <t>http://www.facebook.com/150790758316037</t>
  </si>
  <si>
    <t>http://www.facebook.com/1482330235332672</t>
  </si>
  <si>
    <t>http://www.facebook.com/293178287415102</t>
  </si>
  <si>
    <t>وزارة الخارجية العراقية</t>
  </si>
  <si>
    <t>MOFA.IQ</t>
  </si>
  <si>
    <t>http://www.facebook.com/1650260485206001</t>
  </si>
  <si>
    <t>http://www.facebook.com/148659488539371</t>
  </si>
  <si>
    <t>http://www.facebook.com/187313607986414</t>
  </si>
  <si>
    <t>http://www.facebook.com/254621574688092</t>
  </si>
  <si>
    <t>http://www.facebook.com/390975464278928</t>
  </si>
  <si>
    <t>http://www.facebook.com/560581960628136</t>
  </si>
  <si>
    <t>http://www.facebook.com/377893012417309</t>
  </si>
  <si>
    <t>http://www.facebook.com/197790643722048</t>
  </si>
  <si>
    <t>Ministry of Foreign Affairs, Islamabad</t>
  </si>
  <si>
    <t>mofaisb</t>
  </si>
  <si>
    <t>http://www.facebook.com/1670167993264841</t>
  </si>
  <si>
    <t>http://www.facebook.com/168364409846894</t>
  </si>
  <si>
    <t>http://www.facebook.com/114737585253641</t>
  </si>
  <si>
    <t>http://www.facebook.com/128108543915263</t>
  </si>
  <si>
    <t>http://www.facebook.com/513368565530110</t>
  </si>
  <si>
    <t>http://www.facebook.com/576508189116608</t>
  </si>
  <si>
    <t>http://www.facebook.com/534852983277743</t>
  </si>
  <si>
    <t>http://www.facebook.com/400706816697605</t>
  </si>
  <si>
    <t>http://www.facebook.com/928505747209887</t>
  </si>
  <si>
    <t>http://www.facebook.com/238067622916310</t>
  </si>
  <si>
    <t>http://www.facebook.com/214587865238723</t>
  </si>
  <si>
    <t>http://www.facebook.com/1528952840718244</t>
  </si>
  <si>
    <t>http://www.facebook.com/428608563843624</t>
  </si>
  <si>
    <t>http://www.facebook.com/813476528700085</t>
  </si>
  <si>
    <t>http://www.facebook.com/148874415141120</t>
  </si>
  <si>
    <t>http://www.facebook.com/141217272588202</t>
  </si>
  <si>
    <t>http://www.facebook.com/199372236793399</t>
  </si>
  <si>
    <t>http://www.facebook.com/157851205951</t>
  </si>
  <si>
    <t>Nana Addo Dankwa Akufo-Addo</t>
  </si>
  <si>
    <t>http://www.facebook.com/7893934835</t>
  </si>
  <si>
    <t>http://www.facebook.com/778956725549126</t>
  </si>
  <si>
    <t>http://www.facebook.com/177526890164</t>
  </si>
  <si>
    <t>http://www.facebook.com/268108602075</t>
  </si>
  <si>
    <t>http://www.facebook.com/1402437823320030</t>
  </si>
  <si>
    <t>http://www.facebook.com/107765889287008</t>
  </si>
  <si>
    <t>http://www.facebook.com/112733662097410</t>
  </si>
  <si>
    <t>http://www.facebook.com/1396948690571925</t>
  </si>
  <si>
    <t>http://www.facebook.com/1660391304179695</t>
  </si>
  <si>
    <t>http://www.facebook.com/154758538210003</t>
  </si>
  <si>
    <t>http://www.facebook.com/148706938593464</t>
  </si>
  <si>
    <t>http://www.facebook.com/298090296092</t>
  </si>
  <si>
    <t>http://www.facebook.com/486286474728213</t>
  </si>
  <si>
    <t>http://www.facebook.com/437077656395530</t>
  </si>
  <si>
    <t>http://www.facebook.com/174051195978595</t>
  </si>
  <si>
    <t>http://www.facebook.com/271484039577944</t>
  </si>
  <si>
    <t>http://www.facebook.com/199126586891882</t>
  </si>
  <si>
    <t>http://www.facebook.com/286449344700945</t>
  </si>
  <si>
    <t>Palazzo Chigi - Presidenza del Consiglio dei Ministri</t>
  </si>
  <si>
    <t>palazzochigi.it</t>
  </si>
  <si>
    <t>http://www.facebook.com/948165718584742</t>
  </si>
  <si>
    <t>http://www.facebook.com/126356524104847</t>
  </si>
  <si>
    <t>http://www.facebook.com/395923447178449</t>
  </si>
  <si>
    <t>http://www.facebook.com/615205935267536</t>
  </si>
  <si>
    <t>http://www.facebook.com/743915492380777</t>
  </si>
  <si>
    <t>http://www.facebook.com/168259563205292</t>
  </si>
  <si>
    <t>http://www.facebook.com/848041401873852</t>
  </si>
  <si>
    <t>http://www.facebook.com/317875174912143</t>
  </si>
  <si>
    <t>http://www.facebook.com/474409562693441</t>
  </si>
  <si>
    <t>http://www.facebook.com/149439858472433</t>
  </si>
  <si>
    <t>http://www.facebook.com/206612162752737</t>
  </si>
  <si>
    <t>http://www.facebook.com/410112025768173</t>
  </si>
  <si>
    <t>http://www.facebook.com/478216262309083</t>
  </si>
  <si>
    <t>http://www.facebook.com/151354084892458</t>
  </si>
  <si>
    <t>http://www.facebook.com/1060496417299670</t>
  </si>
  <si>
    <t>http://www.facebook.com/988959221132380</t>
  </si>
  <si>
    <t>http://www.facebook.com/213636118651883</t>
  </si>
  <si>
    <t>Poland.pl</t>
  </si>
  <si>
    <t>http://www.facebook.com/120927384594177</t>
  </si>
  <si>
    <t>http://www.facebook.com/448342938551601</t>
  </si>
  <si>
    <t>http://www.facebook.com/130379153641715</t>
  </si>
  <si>
    <t>http://www.facebook.com/259471017731773</t>
  </si>
  <si>
    <t>http://www.facebook.com/161356427244410</t>
  </si>
  <si>
    <t>http://www.facebook.com/163676017303248</t>
  </si>
  <si>
    <t>http://www.facebook.com/469766193112447</t>
  </si>
  <si>
    <t>http://www.facebook.com/338669069648703</t>
  </si>
  <si>
    <t>http://www.facebook.com/1490966641178782</t>
  </si>
  <si>
    <t>http://www.facebook.com/563531873666309</t>
  </si>
  <si>
    <t>http://www.facebook.com/271178572940207</t>
  </si>
  <si>
    <t>http://www.facebook.com/1745484385736441</t>
  </si>
  <si>
    <t>http://www.facebook.com/160157920795418</t>
  </si>
  <si>
    <t>http://www.facebook.com/184048778364022</t>
  </si>
  <si>
    <t>http://www.facebook.com/120984458239110</t>
  </si>
  <si>
    <t>http://www.facebook.com/489582157720938</t>
  </si>
  <si>
    <t>http://www.facebook.com/1543390179285746</t>
  </si>
  <si>
    <t>http://www.facebook.com/312681118935845</t>
  </si>
  <si>
    <t>http://www.facebook.com/296856450353059</t>
  </si>
  <si>
    <t>http://www.facebook.com/186850511364615</t>
  </si>
  <si>
    <t>http://www.facebook.com/1488858818050617</t>
  </si>
  <si>
    <t>http://www.facebook.com/218955918568</t>
  </si>
  <si>
    <t>http://www.facebook.com/370845909672873</t>
  </si>
  <si>
    <t>http://www.facebook.com/200505530012627</t>
  </si>
  <si>
    <t>http://www.facebook.com/305074069562119</t>
  </si>
  <si>
    <t>http://www.facebook.com/143634975724835</t>
  </si>
  <si>
    <t>http://www.facebook.com/281871685255679</t>
  </si>
  <si>
    <t>http://www.facebook.com/174022165989770</t>
  </si>
  <si>
    <t>http://www.facebook.com/8383028996</t>
  </si>
  <si>
    <t>http://www.facebook.com/296958677115673</t>
  </si>
  <si>
    <t>http://www.facebook.com/1428690064103291</t>
  </si>
  <si>
    <t>http://www.facebook.com/198887700111</t>
  </si>
  <si>
    <t>http://www.facebook.com/154701207892882</t>
  </si>
  <si>
    <t>http://www.facebook.com/147569985444848</t>
  </si>
  <si>
    <t>http://www.facebook.com/37677975314</t>
  </si>
  <si>
    <t>http://www.facebook.com/415677591792847</t>
  </si>
  <si>
    <t>http://www.facebook.com/197876463713968</t>
  </si>
  <si>
    <t>http://www.facebook.com/1418629561743451</t>
  </si>
  <si>
    <t>http://www.facebook.com/1384775358471464</t>
  </si>
  <si>
    <t>http://www.facebook.com/109613107281</t>
  </si>
  <si>
    <t>http://www.facebook.com/762366847133973</t>
  </si>
  <si>
    <t>http://www.facebook.com/400772320058198</t>
  </si>
  <si>
    <t>http://www.facebook.com/114309128646983</t>
  </si>
  <si>
    <t>http://www.facebook.com/1438274123071149</t>
  </si>
  <si>
    <t>http://www.facebook.com/417747541641010</t>
  </si>
  <si>
    <t>http://www.facebook.com/297288580359145</t>
  </si>
  <si>
    <t>http://www.facebook.com/317523955052518</t>
  </si>
  <si>
    <t>http://www.facebook.com/602410409783055</t>
  </si>
  <si>
    <t>http://www.facebook.com/426663214196857</t>
  </si>
  <si>
    <t>http://www.facebook.com/1031530720199132</t>
  </si>
  <si>
    <t>http://www.facebook.com/1796040883955530</t>
  </si>
  <si>
    <t>http://www.facebook.com/184448914914155</t>
  </si>
  <si>
    <t>Prime Minister's Office PNG</t>
  </si>
  <si>
    <t>primeministersofficepng</t>
  </si>
  <si>
    <t>http://www.facebook.com/665910256760422</t>
  </si>
  <si>
    <t>http://www.facebook.com/182521101771662</t>
  </si>
  <si>
    <t>http://www.facebook.com/77319320825</t>
  </si>
  <si>
    <t>http://www.facebook.com/541962839199606</t>
  </si>
  <si>
    <t>http://www.facebook.com/523651047734406</t>
  </si>
  <si>
    <t>Jüri Ratas</t>
  </si>
  <si>
    <t>http://www.facebook.com/419827918155173</t>
  </si>
  <si>
    <t>http://www.facebook.com/465458790307414</t>
  </si>
  <si>
    <t>http://www.facebook.com/344704883576</t>
  </si>
  <si>
    <t>http://www.facebook.com/128211737213526</t>
  </si>
  <si>
    <t>http://www.facebook.com/383533738363079</t>
  </si>
  <si>
    <t>http://www.facebook.com/674710549328565</t>
  </si>
  <si>
    <t>http://www.facebook.com/373183260424</t>
  </si>
  <si>
    <t>http://www.facebook.com/320374868088939</t>
  </si>
  <si>
    <t>http://www.facebook.com/359060614156407</t>
  </si>
  <si>
    <t>http://www.facebook.com/228456818293</t>
  </si>
  <si>
    <t>http://www.facebook.com/1569360143353045</t>
  </si>
  <si>
    <t>http://www.facebook.com/305083636229840</t>
  </si>
  <si>
    <t>http://www.facebook.com/233038883480385</t>
  </si>
  <si>
    <t>http://www.facebook.com/900088560022167</t>
  </si>
  <si>
    <t>http://www.facebook.com/612864685431270</t>
  </si>
  <si>
    <t>http://www.facebook.com/122785784486304</t>
  </si>
  <si>
    <t>http://www.facebook.com/130818186982995</t>
  </si>
  <si>
    <t>http://www.facebook.com/105151752909840</t>
  </si>
  <si>
    <t>http://www.facebook.com/131869290310190</t>
  </si>
  <si>
    <t>http://www.facebook.com/342958192219</t>
  </si>
  <si>
    <t>http://www.facebook.com/264386577005288</t>
  </si>
  <si>
    <t>http://www.facebook.com/324716950937499</t>
  </si>
  <si>
    <t>St.Kitts and Nevis Information Service - SKNIS</t>
  </si>
  <si>
    <t>sknismedia</t>
  </si>
  <si>
    <t>http://www.facebook.com/473920689327764</t>
  </si>
  <si>
    <t>Government of Sri Lanka - GoSL</t>
  </si>
  <si>
    <t>SLGovernment</t>
  </si>
  <si>
    <t>http://www.facebook.com/151169228395379</t>
  </si>
  <si>
    <t>http://www.facebook.com/244481675622822</t>
  </si>
  <si>
    <t>http://www.facebook.com/314327765333656</t>
  </si>
  <si>
    <t>http://www.facebook.com/122629161084065</t>
  </si>
  <si>
    <t>http://www.facebook.com/103558343137474</t>
  </si>
  <si>
    <t>http://www.facebook.com/623565507658977</t>
  </si>
  <si>
    <t>http://www.facebook.com/791860124170327</t>
  </si>
  <si>
    <t>http://www.facebook.com/322302104497897</t>
  </si>
  <si>
    <t>http://www.facebook.com/586396861428269</t>
  </si>
  <si>
    <t>http://www.facebook.com/158559710878311</t>
  </si>
  <si>
    <t>http://www.facebook.com/329885883718979</t>
  </si>
  <si>
    <t>http://www.facebook.com/109692931385</t>
  </si>
  <si>
    <t>http://www.facebook.com/581152442029393</t>
  </si>
  <si>
    <t>http://www.facebook.com/301127620029099</t>
  </si>
  <si>
    <t>http://www.facebook.com/150381141768053</t>
  </si>
  <si>
    <t>http://www.facebook.com/253180081541814</t>
  </si>
  <si>
    <t>http://www.facebook.com/533376740039496</t>
  </si>
  <si>
    <t>tcbasbakan</t>
  </si>
  <si>
    <t>http://www.facebook.com/923273234450275</t>
  </si>
  <si>
    <t>http://www.facebook.com/732050426820487</t>
  </si>
  <si>
    <t>http://www.facebook.com/225483240978278</t>
  </si>
  <si>
    <t>http://www.facebook.com/180940151929407</t>
  </si>
  <si>
    <t>http://www.facebook.com/153641954675821</t>
  </si>
  <si>
    <t>http://www.facebook.com/151274568227715</t>
  </si>
  <si>
    <t>http://www.facebook.com/1348528641830572</t>
  </si>
  <si>
    <t>http://www.facebook.com/655425904574963</t>
  </si>
  <si>
    <t>http://www.facebook.com/213963285282972</t>
  </si>
  <si>
    <t>http://www.facebook.com/12224403053</t>
  </si>
  <si>
    <t>http://www.facebook.com/241673509341052</t>
  </si>
  <si>
    <t>http://www.facebook.com/171454396234624</t>
  </si>
  <si>
    <t>http://www.facebook.com/290116607683533</t>
  </si>
  <si>
    <t>http://www.facebook.com/851689241534485</t>
  </si>
  <si>
    <t>http://www.facebook.com/108669062546478</t>
  </si>
  <si>
    <t>http://www.facebook.com/488183977871744</t>
  </si>
  <si>
    <t>http://www.facebook.com/129434340539633</t>
  </si>
  <si>
    <t>http://www.facebook.com/408582579294175</t>
  </si>
  <si>
    <t>http://www.facebook.com/141487425905186</t>
  </si>
  <si>
    <t>http://www.facebook.com/222208794472818</t>
  </si>
  <si>
    <t>http://www.facebook.com/147150828677414</t>
  </si>
  <si>
    <t>http://www.facebook.com/295551360389</t>
  </si>
  <si>
    <t>http://www.facebook.com/146494362112243</t>
  </si>
  <si>
    <t>http://www.facebook.com/429195173763802</t>
  </si>
  <si>
    <t>http://www.facebook.com/1502448146702052</t>
  </si>
  <si>
    <t>http://www.facebook.com/121064324573104</t>
  </si>
  <si>
    <t>USA.gov</t>
  </si>
  <si>
    <t>http://www.facebook.com/65369158579</t>
  </si>
  <si>
    <t>http://www.facebook.com/1660706864216893</t>
  </si>
  <si>
    <t>http://www.facebook.com/1621183234814991</t>
  </si>
  <si>
    <t>http://www.facebook.com/15877306073</t>
  </si>
  <si>
    <t>http://www.facebook.com/121851934504749</t>
  </si>
  <si>
    <t>http://www.facebook.com/75894488846</t>
  </si>
  <si>
    <t>valdibasmaja</t>
  </si>
  <si>
    <t>http://www.facebook.com/1764718630423929</t>
  </si>
  <si>
    <t>http://www.facebook.com/57904691979</t>
  </si>
  <si>
    <t>http://www.facebook.com/124174484304839</t>
  </si>
  <si>
    <t>Fiji PM Frank Bainimarama</t>
  </si>
  <si>
    <t>VBainimarama</t>
  </si>
  <si>
    <t>http://www.facebook.com/1411979992394457</t>
  </si>
  <si>
    <t>http://www.facebook.com/312167242326580</t>
  </si>
  <si>
    <t>http://www.facebook.com/30332546206</t>
  </si>
  <si>
    <t>http://www.facebook.com/147981758594357</t>
  </si>
  <si>
    <t>http://www.facebook.com/184290601665373</t>
  </si>
  <si>
    <t>VladaRepublikeSlovenije</t>
  </si>
  <si>
    <t>http://www.facebook.com/1193175320710704</t>
  </si>
  <si>
    <t>http://www.facebook.com/149481385220784</t>
  </si>
  <si>
    <t>http://www.facebook.com/726592630764197</t>
  </si>
  <si>
    <t>http://www.facebook.com/434923669883731</t>
  </si>
  <si>
    <t>http://www.facebook.com/486827294741606</t>
  </si>
  <si>
    <t>http://www.facebook.com/484602704917458</t>
  </si>
  <si>
    <t>http://www.facebook.com/186841961492783</t>
  </si>
  <si>
    <t>http://www.facebook.com/415541435185463</t>
  </si>
  <si>
    <t>http://www.facebook.com/528524953890825</t>
  </si>
  <si>
    <t>http://www.facebook.com/382670391843617</t>
  </si>
  <si>
    <t>http://www.facebook.com/145117162296730</t>
  </si>
  <si>
    <t>http://www.facebook.com/108807632571642</t>
  </si>
  <si>
    <t>http://www.facebook.com/1561942590711488</t>
  </si>
  <si>
    <t>http://www.facebook.com/1006449296051502</t>
  </si>
  <si>
    <t>http://www.facebook.com/116576108426876</t>
  </si>
  <si>
    <t>http://www.facebook.com/119987794693584</t>
  </si>
  <si>
    <t>http://www.facebook.com/130394330468904</t>
  </si>
  <si>
    <t>http://www.facebook.com/132405180115013</t>
  </si>
  <si>
    <t>http://www.facebook.com/134183339948571</t>
  </si>
  <si>
    <t>http://www.facebook.com/135047926675334</t>
  </si>
  <si>
    <t>http://www.facebook.com/1411588962478507</t>
  </si>
  <si>
    <t>http://www.facebook.com/142839432423177</t>
  </si>
  <si>
    <t>http://www.facebook.com/1479684935601755</t>
  </si>
  <si>
    <t>http://www.facebook.com/1531737037092929</t>
  </si>
  <si>
    <t>http://www.facebook.com/1577972009097699</t>
  </si>
  <si>
    <t>http://www.facebook.com/161612180563912</t>
  </si>
  <si>
    <t>Sheikh Mohamed bin Zayed bin Sultan Al Nahyan</t>
  </si>
  <si>
    <t>http://www.facebook.com/1631139903865661</t>
  </si>
  <si>
    <t>http://www.facebook.com/167766706708770</t>
  </si>
  <si>
    <t>Sultan of Brunei Hassanal Bolkiah</t>
  </si>
  <si>
    <t>http://www.facebook.com/203783963024091</t>
  </si>
  <si>
    <t>Hilda Heine ñan Aur</t>
  </si>
  <si>
    <t>http://www.facebook.com/225121217531031</t>
  </si>
  <si>
    <t>http://www.facebook.com/234404863297613</t>
  </si>
  <si>
    <t>http://www.facebook.com/243558335851543</t>
  </si>
  <si>
    <t>http://www.facebook.com/280212665505125</t>
  </si>
  <si>
    <t>http://www.facebook.com/281137451918748</t>
  </si>
  <si>
    <t>http://www.facebook.com/292935125286</t>
  </si>
  <si>
    <t>http://www.facebook.com/317057388365804</t>
  </si>
  <si>
    <t>http://www.facebook.com/328165980711185</t>
  </si>
  <si>
    <t>http://www.facebook.com/348608005219771</t>
  </si>
  <si>
    <t>http://www.facebook.com/349142568566343</t>
  </si>
  <si>
    <t>http://www.facebook.com/371689359570483</t>
  </si>
  <si>
    <t>Idriss Déby Itno إدريس ديبي إتنو</t>
  </si>
  <si>
    <t>http://www.facebook.com/372946176176</t>
  </si>
  <si>
    <t>http://www.facebook.com/421166261302591</t>
  </si>
  <si>
    <t>http://www.facebook.com/434954336556544</t>
  </si>
  <si>
    <t>http://www.facebook.com/506453726037312</t>
  </si>
  <si>
    <t>http://www.facebook.com/511449525613301</t>
  </si>
  <si>
    <t>http://www.facebook.com/529224993865914</t>
  </si>
  <si>
    <t>http://www.facebook.com/54212446406</t>
  </si>
  <si>
    <t>http://www.facebook.com/548265471873786</t>
  </si>
  <si>
    <t>http://www.facebook.com/580510255379054</t>
  </si>
  <si>
    <t>http://www.facebook.com/667630409972128</t>
  </si>
  <si>
    <t>http://www.facebook.com/6683533941</t>
  </si>
  <si>
    <t>http://www.facebook.com/66985740526</t>
  </si>
  <si>
    <t>http://www.facebook.com/677364282340384</t>
  </si>
  <si>
    <t>http://www.facebook.com/727643947321702</t>
  </si>
  <si>
    <t>http://www.facebook.com/752312678198295</t>
  </si>
  <si>
    <t>http://www.facebook.com/76714151717</t>
  </si>
  <si>
    <t>http://www.facebook.com/772125672825922</t>
  </si>
  <si>
    <t>http://www.facebook.com/77276644149</t>
  </si>
  <si>
    <t>http://www.facebook.com/787702567985352</t>
  </si>
  <si>
    <t>http://www.facebook.com/791067600945337</t>
  </si>
  <si>
    <t>http://www.facebook.com/792509457440940</t>
  </si>
  <si>
    <t>http://www.facebook.com/797477746936993</t>
  </si>
  <si>
    <t>Saulius Skvernelis</t>
  </si>
  <si>
    <t>http://www.facebook.com/814777171988967</t>
  </si>
  <si>
    <t>http://www.facebook.com/898481620186007</t>
  </si>
  <si>
    <t>https://facebook.com/mevlutcavusoglu07</t>
  </si>
  <si>
    <t>http://www.flickr.com/number10gov</t>
  </si>
  <si>
    <t>10 Downing Street, SW1A 2 London, United Kingdom</t>
  </si>
  <si>
    <t>http://www.presidentalibongo.com/</t>
  </si>
  <si>
    <t>Denne profil er privat og jeg fører den ikke som udenrigsminister. Henvendelse til mig som udenrigsminister skal rettes til:
udenrigsministeren@um.dk</t>
  </si>
  <si>
    <t>https://www.facebook.com/AndersSamuelsenLA/</t>
  </si>
  <si>
    <t>Denne profil er privat og jeg fører den ikke som udenrigsminister. Henvendelse til mig som udenrigsminister skal rettes til:
udenrigsministeren@um.dk
Tlf: 33920000</t>
  </si>
  <si>
    <t>http://andrzejduda.pl/</t>
  </si>
  <si>
    <t xml:space="preserve"> http://www.angelinoalfano.it</t>
  </si>
  <si>
    <t>Pagina Ufficiale - Seguimi anche su Twitter: http://www.twitter.com/angealfa - Flickr: http://www.flickr.com/photos/angelinoalfano - Youtube: http://www.youtube.com/user/angelinoalfano1</t>
  </si>
  <si>
    <t>Laureato all’Università Cattolica del Sacro Cuore di Milano, è avvocato e dottore di ricerca in diritto dell’impresa presso l’Università degli studi di Palermo.
È giornalista pubblicista dal 1989 avendo collaborato con numerose testate regionali e nazionali.
Nel 1994 viene eletto consigliere provinciale nel collegio di Agrigento, svolge la funzione di Presidente della commissione affari generali ed è il coordinatore del “Polo delle Libertà” in consiglio.
Nel 1996 e’ eletto deputato all’Assemblea Regionale Siciliana, risultando esserne il più giovane componente. Presiede il gruppo parlamentare di Forza Italia all’Ars dal 1998 al 2001.
Nel 2001 e’ eletto deputato al Parlamento Nazionale nella Sicilia occidentale, nella lista di Forza Italia.
È componente:
della Commissione bilancio, tesoro e programmazione dal 20 giugno 2001 al 27 aprile 2006, presso la quale è relatore di numerosi provvedimenti
della Commissione parlamentare per le questioni regionali dall’11 luglio 2001 al 27 aprile 2006
della Commissione parlamentare di inchiesta sull’affare Telekom/Serbia dal 1° luglio 2002 all’8 settembre 2004.
Membro del comitato per la legislazione dal 17 luglio 2001, ne diviene segretario dal 26 aprile 2002 al 25 agosto 2005.
È firmatario di diversi progetti di legge, di ordini del giorno in assemblea e di interrogazioni.
È relatore della legge finanziaria e di bilancio di previsione dello stato per l’anno finanziario 2003 e bilancio pluriennale per il triennio 2003-2005.
È Segretario della conferenza dei coordinatori regionali di Forza Italia dal luglio 2002.
Nel febbraio del 2005 viene nominato coordinatore regionale di Forza Italia per la Sicilia, incarico dal quale si dimette il 7 maggio 2008.
Nel 2006 e’ rieletto deputato al Parlamento Nazionale nella Sicilia occidentale nella lista di Forza Italia.
È componente della Commissione bilancio, tesoro e programmazione dal 6 giugno 2006 al 28 aprile 2008.
È firmatario di diversi progetti di legge ed è intervenuto in aula e in commissione su svariati argomenti.
Nel 2008 e’ rieletto deputato al Parlamento Nazionale nelle fila del    Popolo della Liberta’.
Il 7 maggio 2008 e’ nominato Ministro della Giustizia. E’ il più giovane ministro della Giustizia nella storia della Repubblica Italiana.
Eletto Segretario Politico del PDL il 1 luglio 2011, lascia l’incarico di ministro della Giustizia, il 27 luglio 2011, per dedicarsi al partito.
Dal 28 aprile 2013 è Ministro dell'Interno e vice Presidente del Consiglio dei Ministri</t>
  </si>
  <si>
    <t>https://www.facebook.com/angelinoalfano.it/</t>
  </si>
  <si>
    <t>Werderscher Markt 1, 10117 Berlin, Germany</t>
  </si>
  <si>
    <t>First lady President of Nepal</t>
  </si>
  <si>
    <t>https://www.facebook.com/bdbnepal/</t>
  </si>
  <si>
    <t>www.belgium.be www.twitter.com/belgiumbe http://www.youtube.com/user/WebmasterBelgium</t>
  </si>
  <si>
    <t>Belgium.be : Informations et services officiels || Informatie en diensten van de overheid
Twitter : @belgiumbe
Instagram : @belgium.be</t>
  </si>
  <si>
    <t>https://www.facebook.com/Belgium.be/</t>
  </si>
  <si>
    <t>Wetstraat 16 rue de la Loi, 1000 Brussels, Belgium</t>
  </si>
  <si>
    <t>Jalan Perdana Menteri, Bandar Seri Begawan, Brunei</t>
  </si>
  <si>
    <t>Dorotheenstraße 84, 10117 Berlin, Germany</t>
  </si>
  <si>
    <t>Página oficial en Facebook del Ministerio de Relaciones Exteriores y Culto de la República Argentina.</t>
  </si>
  <si>
    <t>https://www.facebook.com/CancilleriaARG/</t>
  </si>
  <si>
    <t>El Ministerio de Relaciones Exteriores y Culto tiene a su cargo las relaciones exteriores de la Nación y su representación ante los Gobiernos extranjeros y Organismos Internacionales.
En ese marco, le corresponde la elaboración de objetivos y de políticas y la ejecución de planes, programas y proyectos concernientes a diversos aspectos que pueden sintetizarse en los siguientes:
- Políticos: la formulación y participación de la República en los procesos de integración regional, su participación en Organismos Internacionales en temas de interés global, como la gobernanza mundial, derechos humanos, medio ambiente, el combate contra el delito transnacional (terrorismo, narcotráfico, trata de personas, etc.)
- Jurídicos: la tramitación de tratados, la intervención en controversias limítrofes y de soberanía y en litigios comerciales; y asuntos relativos a la asistencia judicial internacional (rogatorias judiciales, pedidos de extradición).
- Económicos y comerciales: la formulación y conducción de los procesos de integración regional de los que participa la Argentina, así como la participación en negociaciones económicas bilaterales y multilaterales. La Cancillería tiene a su cargo la conducción del servicio comercial exterior e interviene en la política de desarrollo de la inversión extranjera de carácter productivo en el país.
- Consulares: la protección y asistencia de los ciudadanos e intereses de los argentinos en el exterior, así como el fortalecimiento de sus vínculos con la República.
- Culto: tiene a su cargo las relaciones con todas las organizaciones religiosas que funcionan en el país y mantiene un registro de las mismas.
- Cooperación: entiende desde el punto de vista de la política exterior, en la negociación de la cooperación internacional en distintos ámbitos en coordinación con los respectivos ministerios y con los demás organismos nacionales que tengan competencia en ellos. Promueve la elaboración de programas de cooperación Sur-Sur a través del Fondo Argentino de Cooperación Horizontal.
- Culturales: promueve y difunde la imagen de la República en el exterior, en los diversos aspectos de la cultura nacional.</t>
  </si>
  <si>
    <t>Compete al MINISTERIO DE RELACIONES EXTERIORES Y CULTO asistir al Presidente de la Nación, y al Jefe de Gabinete de Ministros en orden a sus competencias, en todo lo inherente a las relaciones exteriores de la Nación y su representación ante los gobiernos extranjeros, la SANTA SEDE y las entidades internacionales en todos los campos del accionar de la República, y en particular:
1. Entender en la determinación de los objetivos y políticas del área de su competencia.
2. Ejecutar los planes, programas y proyectos del área de su competencia elaborados conforme las directivas que imparta el PODER EJECUTIVO NACIONAL.
3. Entender, desde el punto de vista de la política exterior, en todas las reuniones, congresos y conferencias de carácter internacional y en las misiones especiales ante los gobiernos extranjeros, organismos y entidades internacionales, así como en las instrucciones que corresponda impartir en cada caso, y su ejecución.
4. Entender en las relaciones con el cuerpo diplomático y consular extranjero, y con los representantes gubernamentales, de organismos y entidades intergubernamentales en la República.
5. Entender, desde el punto de vista de la política exterior, en la elaboración, registro e interpretación de los tratados, pactos, convenios, protocolos, acuerdos, arreglos o cualquier otro instrumento de naturaleza internacional, en todas las etapas de la negociación, adopción, adhesión, accesión y denuncia.
6. Entender, desde el punto de vista de la política exterior, en todo lo inherente a las actividades de las misiones especiales enviadas a la República por los gobiernos extranjeros o por organismos o entidades internacionales.
7. Entender en la protección y asistencia de los ciudadanos e intereses de los argentinos en el exterior, así como fortalecer sus vínculos con la República.
8. Intervenir, en su área, en las decisiones sobre el uso de la fuerza armada, en las materias relacionadas con el estado de guerra y su declaración, en la solución de las controversias internacionales, los ajustes de paz, la aplicación de sanciones decididas por organismos internacionales competentes y otros actos contemplados por el derecho internacional.
9. Entender en la política vinculada con las operaciones de mantenimiento de la paz en el ámbito de las organizaciones internacionales y como resultado de compromisos bilaterales adquiridos por la República, e intervenir en su ejecución.
10. Entender en la política de desarme, seguridad y antiterrorismo internacional.
11. Entender en la introducción y tránsito de fuerzas extranjeras por el territorio de la República y la salida de fuerzas nacionales, sin perjuicio de la competencia del MINISTERIO DE DEFENSA.
12. Entender, desde el punto de vista de la política exterior, en las materias referidas a la no proliferación de tecnologías sensitivasvinculadas a las armas de destrucción en masa e intervenir en el control de exportaciones sensitivas y material bélico.
13. Entender, desde el punto de vista de la política exterior, en la tramitación de los tratados de arreglos concernientes a los límites internacionales, y en el registro y difusión de los mapas oficiales de los límites de la República.
14. Entender en la tramitación de rogatorias judiciales, pedidos de extradición y en los asuntos relativos a la asistencia judicial internacional.
15. Entender en la concesión del derecho de asilo y el otorgamiento de la condición de refugiado.
16. Entender en la promoción y difusión de la imagen de la República en el exterior, coordinando previamente con los organismos que correspondan.
17. Entender en los aspectos políticos económicos internacionales, en la formulación y conducción de los procesos de integración de los que participa la República, como así también en el establecimiento y conducción de los órganos comunitarios surgidos de dichos procesos, y en todo lo relativo a su convergencia futura con otros procesos de integración, sin perjuicio de la intervención de las jurisdicciones que tengan asignadas competencias en la materia.
18. Entender, desde el punto de vista de la política exterior y en coordinación con los organismos nacionales, provinciales y regionales de enlace, en el desarrollo de los procesos de integración física con los países limítrofes.
19. Intervenir en la política comercial en el exterior, incluyendo la promoción y las negociaciones internacionales de naturaleza comercial, así como en la conducción del servicio comercial exterior
20. Entender, desde el punto de vista de la política exterior, en las negociaciones económicas bilaterales con las naciones con las que la República mantenga relaciones, así como en las negociaciones económicas multilaterales a través de los organismos económicos internacionales, regionales y subregionales.
21. Entender en la promoción, organización y participación en exposiciones, ferias, concursos, muestras y misiones de carácter económico, oficiales y privadas, en el exterior, atendiendo a las orientaciones de política económica global y sectorial que se definan.
22. Entender en las políticas y determinación de acciones de asistencia humanitaria internacional, ayuda de emergencia y rehabilitación para el desarrollo a nivel internacional, su implementación, financiación y ejecución, en coordinación con los organismos competentes del sistema de las Naciones Unidas y otros organismos internacionales.
23. Entender en todo lo relacionado con las representaciones permanentes o transitorias de la República en el exterior.
24. Entender en la organización del Servicio Exterior de la Nación y en el ingreso, capacitación, promoción y propuestas de ascensos de sus integrantes que se realicen al Honorable Congreso de la Nación.
25. Entender en la legalización de documentos para y del exterior.
26. Entender en la publicación del texto oficial de los tratados y demás acuerdos internacionales concluidos por la Nación.
27. Entender, desde el punto de vista de la política exterior, en la negociación de la cooperación internacional en los ámbitos educativos, cultural, ambiental, económico, social, científico, técnico, tecnológico, nuclear, espacial, laboral y jurídico, en coordinación con los respectivos ministerios y con los demás organismos nacionales que tengan competencia en alguno de dichos ámbitos.
28. Intervenir, desde el punto de vista de la política exterior, en la elaboración y ejecución de la política de migración e inmigración en el plano internacional y en lo relacionado con la nacionalidad, derechos y obligaciones de los extranjeros y su asimilación e integración con la comunidad nacional.
29. Entender en las negociaciones internacionales y participar, desde el punto de vista de las relaciones exteriores en la formulación y ejecución de las políticas sobre protección del medio ambiente, y de la preservación del territorio terrestre y marítimo argentino y sus áreas adyacentes, así como del espacio aéreo.
30. Entender, desde el punto de vista de la política exterior, en todo lo relativo a la prevención y sanción de delitos internacionales.
31. Entender en las negociaciones internacionales e intervenir en la formulación de políticas que conduzcan a convenios bilaterales y multilaterales de cooperación internacional en materia de lucha contra el tráfico ilícito de estupefacientes y sustancias psicotrópicas.
32. Entender en el reconocimiento de Estados, Gobiernos y situaciones internacionales.
33. Entender en la aplicación del derecho humanitario internacional en cooperación con los organismos especializados de Naciones Unidas, con la Cruz Roja Internacional, así como también en la formulación y ejecución del programa internacional denominado “Cascos Blancos”.
34. Participar en la formulación de políticas, elaboración de planes y programas, y en la representación del Estado nacional ante los organismos internacionales en materia de Derechos Humanos y en aquellos relativos a la condición y situación de la mujer, e intervenir en la reforma de la legislación nacional en dichas materias.
35. Intervenir en todos los actos del PODER EJECUTIVO NACIONAL que tengan conexión con la política exterior de la Nación o se vinculen con los compromisos asumidos por la República.
36. Entender, conjuntamente con el MINISTERIO DE DEFENSA, en la planificación y dirección de la política antártica, como así también en la implementación de los compromisos internacionales, e intervenir en la ejecución de la actividad antártica.
37. Entender en las relaciones del Gobierno con la Iglesia Católica, Apostólica y Romana; en la centralización de las gestiones que ante la autoridad pública hicieren la Iglesia, personas y entidades del culto y en las acciones correspondientes al otorgamiento de credenciales eclesiásticas.
38. Entender en las relaciones con todas las organizaciones religiosas que funcionen en el país para garantizar el libre ejercicio del culto y en el registro de las mismas.
39. Intervenir en la elaboración de las políticas para el desarrollo de áreas y zonas de frontera y entender en su ejecución en el área de su competencia.
40. Intervenir en la política de desarrollo de la inversión extranjera de carácter productivo en el país, así como en la política de internacionalización de las empresas argentinas en el exterior.</t>
  </si>
  <si>
    <t>+54 (11) 4819 7000</t>
  </si>
  <si>
    <t>https://www.facebook.com/CancilleriaBolivia/</t>
  </si>
  <si>
    <t>Tegucigalpa, Honduras</t>
  </si>
  <si>
    <t xml:space="preserve">¡Bienvenidos a la Casa Rosada!
</t>
  </si>
  <si>
    <t>http://www.denmark.dk</t>
  </si>
  <si>
    <t>Welcome to Denmark.dk 's gateway on Facebook. Managed by the editors of Denmark.dk - Denmark's official website</t>
  </si>
  <si>
    <t>https://www.facebook.com/denmark.dk/</t>
  </si>
  <si>
    <t>The fast track to facts, videos, pics, blogs, articles &amp; news about Denmark. This page is brought to you by the Ministry of Foreign Affairs of Denmark, the editors of Denmark.dk - The offical website of Denmark �</t>
  </si>
  <si>
    <t xml:space="preserve">To find more information about Denmark and the Danes, please visit: 
www.denmark.dk 
www.blogs.denmark.dk 
www.video.denmark.dk 
twitter.com/denmarkdotdk 
flickr.com/photos/denmarkdotdk 
youtube.com/denmarkdotdk </t>
  </si>
  <si>
    <t>Página oficial del Departamento de Estado de Puerto Rico</t>
  </si>
  <si>
    <t>COUNTRY</t>
  </si>
  <si>
    <t>http://www.mfa.gov.tr/default.tr.mfa</t>
  </si>
  <si>
    <t xml:space="preserve">Dışişleri Bakanlığı Facebook sayfasına hoş geldiniz. 
Bu sayfada görüşlerinizi ve önerilerinizi saygılı bir üslupla paylaşmanızı rica ediyoruz. Yorumlarınızın, kullanıcı adınızın ve paylaştığınız tüm bilgilerin kişisel sorumluluğu size aittir. 
Bu bağlamda, sayfamızın yönetiminde aşağıdaki ilkeler dikkate alınacaktır:
1. Bu sayfada yayınlanabilecek yorumların uygun olup olmadıklarına sayfa yöneticileri tarafından karar verilecektir. Uygun olmadığı değerlendirilen içerikler uyarı yapılmadan kaldırılacaktır.
2. Bu çerçevede, özellikle aşağıdaki kuralların herhangi birinin ihlal edilmesi yorumların kaldırılmasına neden olabilir:
a) Her türlü müstehcen veya ırk, din, dil ya da cinsiyet ayrımcılığı içeren veya benzer nitelikteki yorumlara izin verilmeyecektir.
b) Küfür, hakaret ve iftira içeren veya benzer nitelikteki yorumlara izin verilmeyecektir.
c) Yasadışı faaliyetleri herhangi bir şekilde telkin, teşvik veya tasvip eden yorumlara izin verilmeyecektir.
d) Herhangi bir şekilde reklam içeren veya benzer nitelikteki yorumlara izin verilmeyecektir.
e) Siyasi partilerin faaliyetlerini veya sivil toplum kuruluşlarının ideolojik-politik nitelik taşıyabilecek faaliyetlerini teşvik eden, destekleyen, tanıtımını yapan ya da karşı çıkan ve kötüleyen yorumlara izin verilmeyecektir.
3. Bu sayfanın hayranları ya da kullanıcıları tarafından paylaşılan bağlantılar Dışişleri Bakanlığı adına bir onaylama anlamına gelmemekte olup, Bakanlık açısından hukuki bağlayıcılık ve sorumluluk da bulunmamaktadır.
</t>
  </si>
  <si>
    <t>http://egov.md</t>
  </si>
  <si>
    <t xml:space="preserve">Bun venit pe pagina oficială E-Government Center Moldova. Aici puteţi descoperi ultimele noutăţi despre iniţiativele de guvernare electronică.  www.egov.md  </t>
  </si>
  <si>
    <t>https://www.facebook.com/eGovernment.Center.Moldova/</t>
  </si>
  <si>
    <t xml:space="preserve">Centrul de Guvernare Electronică este o instituţie publică înfiinţată de Guvernul Republicii Moldova în August 2010 pentru a dezvolta şi a urmări implementarea agendei de e-transformare, prin intermediul folosirii noilor tehnologii informaţionale şi de comunicaţii. </t>
  </si>
  <si>
    <t>Misiunea CGE este de a contura şi a susţine implementarea strategiei de e-transformare în Republica Moldova, pentru a asigura reforma sistemului administrativ. Activităţile organizaţiei sunt orientate spre îmbunătăţirea sistemului public pentru a creşte eficienţa autorităţilor şi transparenţa instituţiilor statului.</t>
  </si>
  <si>
    <t>Descoperiţi mai multe detalii despre activitatea Centrului de Guvernare Electronică:
o   Twitter - un Tweet, maxim 140 de caractere, deschidem/iniţiem un dialog 
http://twitter.com/#!/eGovCenterMD
o   Y O U T U B E -  Incursiune vizuală în activitatea Centrului
http://www.youtube.com/user/eGovCenterMoldova
o   F L I C K R -  Imagini de la evenimentele noastre
http://www.flickr.com/photos/e-government_center_moldova/
o   SLIDESHARE -  Prezentări despre guvernarea electronică
http://www.slideshare.net/E-Gov_Center_Moldova</t>
  </si>
  <si>
    <t>http://www.e.gov.kw</t>
  </si>
  <si>
    <t>البواية الإلكترونية الرسمية لدولة الكويت</t>
  </si>
  <si>
    <t>https://www.facebook.com/egovkw/</t>
  </si>
  <si>
    <t>البوابةالإلكترونية الرسمية للدولة تمثل مدخلا واحدا للمواطنين والمقيمين والجهات الحكومية وقطاع الأعمال والزائرين للحصول على المعلومات والخدمات الحكومية على مدار الساعة.</t>
  </si>
  <si>
    <t>خدمات إلكترونية ومعلوماتية</t>
  </si>
  <si>
    <t xml:space="preserve">(965)1888810 </t>
  </si>
  <si>
    <t>Ahmed Al Jabir Street, P.O Box 900 Safat - ZIPCODE 13009 Kuwait City</t>
  </si>
  <si>
    <t>55 Rue du Faubourg Saint-Honoré, 75008 Paris, France</t>
  </si>
  <si>
    <t xml:space="preserve">Sheikh Tamim bin Hamad bin Khalifa Al Thani, Emir of Qatar
الشيخ تميم بن حمد آل ثانى
Sheikh Tamim bin Hamad bin Khalifa Al Thani, The Emir of Qatar, was born on June 3, 1980 in Doha, Qatar, the fourth son of Sheikh Hamad bin Khalifa Al Thani, Emir of Qatar. His mother is Sheikh Hamad’s second wife, Sheikha Mozah bint Nasser Al Missned.
He was educated at the Sherborne School in Dorset, England, receiving his A-levels in 1997. He then enrolled at the Royal Military Academy Sandhurst, graduating in 1998. Upon his return to Qatar, he was commissioned in the Qatar Armed Forces. In 2003, he was named Crown Prince of Qatar after his elder brother renounced his position.
As Crown Prince, Sheikh Tamim was instrumental in raising the international profile of Qatar, putting much of his focus into various sporting events. He is a member of the International Olympic Committee, as well as the chairman of the Qatar National Olympic Committee. He was a large part of the successful bid to bring the FIFA World Cup to Qatar in 2022.
Sheikh Tamim has two wives, and six children. His first wife, married in 2005, is Sheikha Jawahir bint Hamad bin Suhaim al-Thani, the daughter of his second-cousin. They have two sons and two daughters. His second wife, married in 2009, is Sheikha Anoud bint Mana Al-Hajri. They have a son and a daughter.
On June 25, 2013, his father announced his abdication, and the accession of Sheikh Tamim as the new Emir of Qatar. As of this writing, he is the youngest reigning monarch in the world.
 </t>
  </si>
  <si>
    <t>https://www.facebook.com/EmirOfQatar/</t>
  </si>
  <si>
    <t>Rue de la Loi, 1000 Brussels, Belgium</t>
  </si>
  <si>
    <t>http://eeas.europa.eu/</t>
  </si>
  <si>
    <t>Rond Point Schuman, 9A, 1046 Brussels, Belgium</t>
  </si>
  <si>
    <t>Bienvenue sur la page officielle du Président de la République Togolaise</t>
  </si>
  <si>
    <t xml:space="preserve">DISCLAIMER NOTICE: You may "SHARE" our images and videos onto your page due to copyright. 
The Department of Information is the Fijian Govt's Fiji's primary information agency providing the link between the Government, the media and the public. For queries related to other Fijian Government agencies or programs, email us on news@govnet.gov.fj </t>
  </si>
  <si>
    <t>PO Box 2225 - Govt bjb n, 000000 Suva City, Central, Fiji</t>
  </si>
  <si>
    <t>37 Quai d'Orsay, 75007 Paris, France</t>
  </si>
  <si>
    <t>37, Quai d'Orsay, 75007 Paris, France</t>
  </si>
  <si>
    <t>boulevard Bessieux, Libreville, Gabon</t>
  </si>
  <si>
    <t>http://ghanapresident.com</t>
  </si>
  <si>
    <t>The Presidency of Ghana</t>
  </si>
  <si>
    <t>https://www.facebook.com/ghanapresident/</t>
  </si>
  <si>
    <t>https://www.facebook.com/GISgrenada/</t>
  </si>
  <si>
    <t>Media/News Company</t>
  </si>
  <si>
    <t xml:space="preserve">Infórmate acá sobre iniciativas, beneficios, campañas y las diferentes actividades de Gobierno. </t>
  </si>
  <si>
    <t>Noticias e información oficial del Gobierno de Guatemala.</t>
  </si>
  <si>
    <t>01001-Guatemala City, Guatemala</t>
  </si>
  <si>
    <t>http://www.hashimthaci.com/</t>
  </si>
  <si>
    <t>Joij im support Hilda Heine and press the LIKE button!</t>
  </si>
  <si>
    <t xml:space="preserve">WORK EXPERIENCE
2009-Present  
Learning Scientist, Pacific Islands Climate Change Education Partnership, Pacific Resources for Education and Learning (PREL), RMI Service Center, Majuro, MH
2005-Present	
Director, Pacific Comprehensive Assistance Center, Pacific Resources for Education and Learning (PREL), Honolulu; RMI Service Center, Majuro, MH
2000-2005	
Scholar, Policy and Capacity Building, PREL, Honolulu, HI
1996-2000	
Program Director, Pacific Center, PREL, Honolulu, HI
1995-1996	
Director, Effective Schools, PREL Honolulu, HI
1992-1995	
Secretary of Education, Ministry of Education, Majuro, Republic of the Marshall Islands (MH)
1990-1992	
President, College of the Marshall Islands, Majuro, MH
1986-1990	
Administrator, College of Micronesia Majuro Campus, Majuro, MH
1982-1986	
Director of Continuing Education, Community College of Micronesia, 
Majuro, MH
1980- 1982	
Counselor, Marshall Islands High School, Majuro, MH
1975-1980	
Classroom Teacher, Marshall Islands High School, Majuro, MH
PROFESSIONAL PREPARATION 
University of Oregon, Eugene, OR		
Social Science/Secondary Education B.S., 1970
University of Hawaii, Honolulu, HI		
Curriculum and Instructions M.Ed., 1975
University of Southern California		
Educational Leadership Ed.D., 2004
</t>
  </si>
  <si>
    <t>https://www.facebook.com/Hilda-Heine-ñan-Aur-225121217531031/</t>
  </si>
  <si>
    <t>Rairok, Majuro</t>
  </si>
  <si>
    <t>http://www.presidencetchad.org</t>
  </si>
  <si>
    <t>الفريق الركن الطيار إدريس ديبي إتنو رئيس جمهورية تشاد ورئيس حركة الخلاص الوطنية.</t>
  </si>
  <si>
    <t xml:space="preserve">إدريس ديبي (بالفرنسية: Idriss Déby) مواليد 1952، رئيس تشاد ورئيس حركة الانقاذ الوطنية. ينتمي لقبيلة الزغاوة "Zaghawa" التشادية-السودانية. أرسل إلى فرنسا للتدريب، وعاد إلى تشاد في 1976، بقى مواليا للجيش وللرئيس فليكس معلوم. دب خلاف بينه وبين حسين حبري رئيس تشاد الأسبق، واتهمه حبري بالتخطيط لانقلاب. هرب إلى ليبيا ثم السودان وشكل ماعرفت ب"جبهة الانقاذ الوطنية" المدعومة من ليبيا والسودان وبدأ الهجوم ضد حسين حبري سنة 1989، واستولى على أنجامينا سنة 1990
 </t>
  </si>
  <si>
    <t>N'Djamena, Chad</t>
  </si>
  <si>
    <t>Palácio Itamaraty - Esplanada dos Ministérios - Bloco H, 70170-900 Brasília, Brazil</t>
  </si>
  <si>
    <t>www.presidencia.cv</t>
  </si>
  <si>
    <t>Seja bem-vindo à página de seguimento do Presidente da República de Cabo Verde</t>
  </si>
  <si>
    <t>https://www.facebook.com/Jorge-Carlos-Fonseca-234404863297613/</t>
  </si>
  <si>
    <t>ASA</t>
  </si>
  <si>
    <t xml:space="preserve">http://www.presidency.ro/ </t>
  </si>
  <si>
    <t>- رؤيتنا:
دبلوماسية سعودية رائدة، لتحقيق المصالح الوطنية وحمايتها، وتعزيز دور المملكة في إحلال الأمن والاستقرار والازدهار في المنطقة والعالم.
- رسالتنا:
صياغة وتنفيذ السياسة الخارجية بما يتماشى مع مبادئ المملكة، في سبيل حماية وتعزيز المصالح الوطنية ورعاية المواطنين والمساهمة في الحفاظ على الأمن والاستقرار والازدهار في المنطقة والعالم، من خلال كفاءات بشرية مؤهلة، ونظم تقنية ومعلوماتية متخصصة، وبرامج دبلوماسية فعالة.​
- قيمنا الأساسية:
تستمد وزارة الخارجية قيمها الأساسية من منظومة المبادئ الوطنية والمهنية، وتعمل على ترسيخها في ثقافة العاملين والوحدات التنظيمية في جميع المستويات، وأهم هذه القيم:
- الولاء لله ثم الملك والوطن.
- الحس الأمني العالي.
- المسؤولية والشفافية.
- روح الفريق الواحد.
- الخدمة المتميزة.
- المبادرة والإبداع​.</t>
  </si>
  <si>
    <t xml:space="preserve">الصفحة الرسمية لحكومة الوفاق الوطني </t>
  </si>
  <si>
    <t>طريق السكة, 00218 Tripoli</t>
  </si>
  <si>
    <t>http://Www.hassansheikh.so</t>
  </si>
  <si>
    <t xml:space="preserve">Waxaan doonayaa in aan wadanka ka hirgeliyo caddaalad. nabad iyo horumar, anigoo ummadda soomaaliyeed la kaashanaya ra'yigooda iyo afkaartooda waxaan la dagaalamayaa musuqmaasuqa dhan walba waxaan ballan qaadayaa in aanan dhicin qiyaamina hantida shacabka iyo qaranka Sooomaaliyeed, waa ay iga go'an tahay in ummaddaan aan ka dhex abuuro nidaam dowli ah oo ku saleysan caddaalad nabad iyo horumar insha Allah </t>
  </si>
  <si>
    <t>MAE este instituţia responsabilă de politica externă a României, iar prin pagina sa de Facebook îşi propune să aducă publicul mai aproape de activitatea de zi cu zi a diplomaţiei române.
Sursa oficială de informaţii despre MAE este site-ul oficial www.mae.ro.
Pentru a contacta ministerul, vă rugăm să folosiţi canalele oficiale: http://www.mae.ro/node/2876
Pentru a asigura persoanelor interesate de activitatea MAE un mediu virtual adecvat, vă rugăm să folosiţi un limbaj civilizat şi să respectaţi următoarele reguli:
• Nu sunt permise comentarii obscene, comentarii sau imagini explicit violente, rasiale sau ameninţătoare.
• Nu se admit comentarii cu caracter abuziv, de instigare la ură sau răzbunare sau menite să defăimeze persoane sau organizaţii.
• Nu se acceptă cereri ori materiale publicitare: promovarea sau susţinerea vreunei instituţii financiare, comerciale sau non-guvernamentale.
• Spamul (mesajele nesolicitate) şi trollingul (provocarea sau readucerea în prim-plan a unor conflicte de idei) vor fi înlăturate şi vor avea drept consecinţă blocarea accesului autorului la pagina de facebook, fără înştiinţare prealabilă. 
• Nu sunt permise imagini sau grafice care au nevoie de drepturi de autor (copyright), fără menţionarea sursei.
• Nu sunt admise comentarii, fotografii sau filme care sugerează sau încurajează activităţi ilegale. 
• Participarea la forum se face pe propriul risc şi cu asumarea propriei responsabilităţi pentru comentariile făcute şi siguranţa numelui de utilizator sau a informaţiilor furnizate. 
• De asemenea, publicarea în această pagină a unor linkuri către site-uri externe sau utilizarea unor aplicaţii aparţinând unor terţe părţi nu înseamnă că acestea au susţinerea oficială sau că reprezintă Ministerul Afacerilor Externe.</t>
  </si>
  <si>
    <t>http://www.pm.gov.au</t>
  </si>
  <si>
    <t>http://www.mevlutcavusoglu.com/</t>
  </si>
  <si>
    <t>https://www.facebook.com/mevlutcavusoglu07/</t>
  </si>
  <si>
    <t>aljamaa street, Khartoum, Sudan</t>
  </si>
  <si>
    <t>https://www.facebook.com/MFAKosovo/</t>
  </si>
  <si>
    <t>MFA Building, Str: “Luan Haradinaj” p.n., 10000 Prishtina, Republic of Kosovo, Pristina</t>
  </si>
  <si>
    <t>Afgoye Road- KM 5 Junction- Wadajir District, 252 Mogadishu, Banadir, Somalia</t>
  </si>
  <si>
    <t>http://rijksoverheid.nl/ministeries/bz</t>
  </si>
  <si>
    <t>De officiële Facebookpagina van het ministerie van Buitenlandse Zaken.
This is the official Facebook page of the Dutch Ministry of Foreign Affairs.</t>
  </si>
  <si>
    <t>https://www.facebook.com/ministeriebz/</t>
  </si>
  <si>
    <t>Het ministerie van Buitenlandse Zaken (BZ) is ieder uur van de dag ergens in de wereld actief. Zo is het ministerie er voor u als u voor korte of langere tijd naar het buitenland gaat. Ook behartigt BZ de internationale betrekkingen, vanuit Den Haag en via een netwerk van ruim 150 posten over de hele wereld. 
Daarnaast geeft het ministerie van Buitenlandse Zaken, in overleg met andere ministeries, vorm aan het Europa van de toekomst.</t>
  </si>
  <si>
    <t>http://www.mfa.gov.gh</t>
  </si>
  <si>
    <t>This is the Official Facebook page for the Ministry of Foreign Affairs and Regional Integration, Ghana</t>
  </si>
  <si>
    <t>The Ministry of Foreign Affairs was established in 1957 with Dr. Kwame Nkrumah, then leader of Government Business, as the first Foreign Minister. A Permanent Secretary was the head of administration, aided by Principal Assistant Secretaries.</t>
  </si>
  <si>
    <t xml:space="preserve">VISION
A well-resourced Foreign Ministry capable of establishing, developing and sustaining international goodwill, solidarity and support for national development.
MISSION
The Ministry of Foreign Affairs and Regional Integration advises Government on the formulation of Ghana's Foreign Policy and implements its objectives in the most efficient and cost effective manner. The Ministry is guided by Government's promise to carry out a dynamic and people-centred foreign policy, in which ordinary Ghanaians experience the social, economic and cultural benefits of Ghana's relations with the rest of the world as stipulated in Ghana's 1992 Constitution.
</t>
  </si>
  <si>
    <t>233 Accra, Ghana</t>
  </si>
  <si>
    <t>Sir Baron Jayathilaka Mawatha, Republic Building, Fort, 00100 Colombo, Sri Lanka</t>
  </si>
  <si>
    <t>Es el ministerio encargado de las relaciones internacionales de la República Dominicana.</t>
  </si>
  <si>
    <t>الصفحة الرسمية لوزارة خارجية جمهورية العراق</t>
  </si>
  <si>
    <t>https://www.facebook.com/MOFA.IQ/</t>
  </si>
  <si>
    <t>Ministry of Foreign Affairs, Segunbagicha, 1000 Dhaka, Bangladesh</t>
  </si>
  <si>
    <t>http://www.mofa.gov.pk/</t>
  </si>
  <si>
    <t>Ministry of Foreign Affairs, Islamabad (Official)</t>
  </si>
  <si>
    <t>https://www.facebook.com/mofaisb/</t>
  </si>
  <si>
    <t>Constitution Avenue,  G-5, Islamabad., Islamabad, Pakistan-44000</t>
  </si>
  <si>
    <t>Islamabad, Pakistan-44000</t>
  </si>
  <si>
    <t>http://www.thisisbuhari.com</t>
  </si>
  <si>
    <t>http://nanaakufoaddo.org</t>
  </si>
  <si>
    <t>https://www.facebook.com/nakufoaddo/</t>
  </si>
  <si>
    <t>http://www.opm.gov.tt</t>
  </si>
  <si>
    <t>http://www.governo.it</t>
  </si>
  <si>
    <t>https://www.facebook.com/palazzochigi.it/</t>
  </si>
  <si>
    <t>Social Media Policy http://www.governo.it/note-legali#socialmedia</t>
  </si>
  <si>
    <t>https://www.presidence.bj/benin-revele/</t>
  </si>
  <si>
    <t>http://www.poland.pl</t>
  </si>
  <si>
    <t xml:space="preserve">The President's Office was established on 11 November 1968 with the adoption of the Second Republic in 1968. 
The President's Office administer functions and activities to facilitate the President exercising Executive authority as provided for in the Constitution and law.
</t>
  </si>
  <si>
    <t>http://www.officeofprimeminister.com</t>
  </si>
  <si>
    <t xml:space="preserve">Prime Ministers Office of Papua New Guinea </t>
  </si>
  <si>
    <t>https://www.facebook.com/primeministersofficepng/</t>
  </si>
  <si>
    <t xml:space="preserve">Correspondence from the Prime Minister's office, connecting the people of PNG to their leader. 
This page is only representative of the Prime Minister's views and should not be attributed directly to them. </t>
  </si>
  <si>
    <t>https://valitsus.ee/et/peaminister-juri-ratas</t>
  </si>
  <si>
    <t xml:space="preserve">Eesti Vabariigi peaminister
Eesti Keskerakonna esimees
</t>
  </si>
  <si>
    <t>https://www.facebook.com/ratasjuri/</t>
  </si>
  <si>
    <t>https://robertdussey.com/</t>
  </si>
  <si>
    <t>https://www.facebook.com/Saulius-Skvernelis-814777171988967/</t>
  </si>
  <si>
    <t>Avenida Juan Ramón Molina, 1ra Calle, 7ma Avenida, Antiguo Edificio del Banco Central, Barrio El centro Tegucigalpa, Honduras Centroamérica, 504 2236-0200 / 2236-03-00 Tegucigalpa, Honduras</t>
  </si>
  <si>
    <t>http://www.cpc.gov.ae</t>
  </si>
  <si>
    <t xml:space="preserve">الصفحة الرسمية لأخبار صاحب السمو الشيخ محمد بن زايد آل نهيان بإدارة ومتابعة فريق العمل
</t>
  </si>
  <si>
    <t>https://www.facebook.com/Sheikh-Mohamed-bin-Zayed-bin-Sultan-Al-Nahyan-1631139903865661/</t>
  </si>
  <si>
    <t>https://www.facebook.com/sknismedia/</t>
  </si>
  <si>
    <t>www.gov.lk</t>
  </si>
  <si>
    <t>Sri Lanka officially the Democratic Socialist Republic of Sri Lanka, is an island country in the northern Indian Ocean off the southern coast of the Indian subcontinent in South Asia. Known until 1972 as Ceylon.
www.gov.lk</t>
  </si>
  <si>
    <t>https://www.facebook.com/SLGovernment/</t>
  </si>
  <si>
    <t>Sri Lanka's documented history spans three thousand years. Its geographic location and deep harbours made it of great strategic importance from the time of the ancient Silk Road through to World War II. Sri Lanka is a diverse country home to many religions, ethnicities and languages. The Sinhalese are the majority, although there are many ethnic minorities, including Sri Lankan Tamils, Moors, Indian Tamils, Burghers, Malays, Kaffirs and the aboriginal Vedda. Sri Lanka has a rich Buddhist heritage, and the first known Buddhist writings were composed on the island. The country's recent history has been marred by a thirty-year civil war which decisively but controversially ended in a military victory in 2009.
Sri Lanka is a republic and a unitary state governed by a presidential system. The capital, Sri Jayawardenapura-Kotte, is a suburb of the largest city, Colombo. An important producer of tea, coffee, gemstones, coconuts, rubber and the native cinnamon, Sri Lanka has been called The tear drop of India because of its shape and location and is known as "The Pearl of the Indian Ocean" because of its natural beauty. It is also known as "The nation of smiling people". The island contains tropical forests, and diverse landscapes with high biodiversity.
The country has had a long history of international engagement, being a founding member of SAARC and a member of the United Nations, the Commonwealth of Nations, the G77 and the Non-Aligned Movement. It is also the only country in South Asia that is currently rated 'high' on the Human Development Index.</t>
  </si>
  <si>
    <t>https://www.facebook.com/Sultan-of-Brunei-Hassanal-Bolkiah-203783963024091/</t>
  </si>
  <si>
    <t>Türkiye Cumhuriyeti Başbakanı (Resmi Hesap),
Prime Minister of the Republic of Turkey (Official Account)</t>
  </si>
  <si>
    <t>https://www.facebook.com/tcbasbakan/</t>
  </si>
  <si>
    <t xml:space="preserve">Welcome to the Facebook page of the Ministry of Foreign Affairs of the Republic of Turkey. 
We kindly ask you to share your comments in a respectful manner. You take personal responsibility for your comments, your username and any information you submit. In this context, we kindly ask you to adhere to the following rules: 
1. The administrators of this page will determine what is and what is not considered appropriate content to publish on this page. Any content determined to be inappropriate will be removed without notice.
2. In this context, comments that violate particularly any of the following rules will be removed:
a) We do not allow comments that contain any obscene and indecent content as well as any discrimination including those based on race, language, religion or gender and similar contents. 
b) We do not allow comments of any abusive, offensive, slanderous and any such nature.
c) We do not allow comments that inspire, promote, endorse or encourage illegal activities in any way.
d) We do not allow comments that advertise products in any way or have similar contents.  
e) We do not allow comments that promote, support or oppose activities of any political party or any ideological/political non-governmental organization. 
3. External links posted by fans of this page or other users do not constitute endorsement on behalf of the Ministry of Foreign Affairs and the Ministry does not assume any legal responsibility in this respect.
</t>
  </si>
  <si>
    <t>Doktor Sadık Ahmet Cd. No:8, Balgat, Ankara, Turkey</t>
  </si>
  <si>
    <t>Nábřeží Edvarda Beneše 4, 118 01 Prague, Czech Republic</t>
  </si>
  <si>
    <t xml:space="preserve">يقود مكتب التواصل الإعلامي الإقليمي في دبي جھود وزارة الخارجية الأمريكية لبناء روابط مع وسائل الإعلام في جميع أنحاء العالم العربي من خلال المقابلات ووسائل التواصل الإجتماعي.
نقوم بعمل مقابلات تلفزيونية وإذاعية بشكل منتظم في وسائل الإعلام العربية في جميع أنحاء المنطقة. نقوم كذلك بتسھيل تواصل كبار المسؤولين في وزراة الخارجية الأمريكية مع وسائل الإعلام الإقليمية وأيضاً تنظيم برامج تدريبية لموظفي الإدارة الأميركية والصحافيين العرب في المنطقة.
السيد ناثان تك – مدير المكتب والمتحدث الرسمي الإقليمي باللغة العربية 
إذا كنت صحافياً أو مؤسسة إعلامية، يمكننا ترتيب مقابلات تلفزيونية وإذاعية مع المتحدثين الرسميين باللغة العربية أو تسھيل إجراء مقابلات مع كبار مسؤولي الحكومة الأمريكية عند زيارتھم للمنطقة.
</t>
  </si>
  <si>
    <t>http://USA.gov/explore http://USA.gov http://blog.USA.gov http://twitter.com/USAgov http://youtube.com/USAgov</t>
  </si>
  <si>
    <t>We help you discover official U.S. government information and services on the Internet.</t>
  </si>
  <si>
    <t>https://www.facebook.com/USAgov/</t>
  </si>
  <si>
    <t>1-844-USA-GOV1 (1-844-872-4681)</t>
  </si>
  <si>
    <t xml:space="preserve">Ministru kabinets / Government of Latvia </t>
  </si>
  <si>
    <t>https://www.facebook.com/valdibasmaja/</t>
  </si>
  <si>
    <t>Ministru kabinets ir Latvijas valsts valdība jeb valsts augstākā izpildvara. Tā sastāvu un darbību nosaka Latvijas Republikas Satversme un Ministru kabineta iekārtas likums. Ministru kabinetu sastāda persona (Ministru prezidenta amata kandidāts), kurai to uztic darīt Valsts prezidents.</t>
  </si>
  <si>
    <t>+371 67082800</t>
  </si>
  <si>
    <t>Brīvības bulvāris 36, Riga, Latvia-1050</t>
  </si>
  <si>
    <t>http://www.juancarlosvarela.com</t>
  </si>
  <si>
    <t>http://bainimarama.org/</t>
  </si>
  <si>
    <t>Rear Admiral [Retired] Commodore Josaia Voreqe Bainimarama, CF, MSD, OStJ, Fijian Navy, known commonly as Frank Bainimarama.</t>
  </si>
  <si>
    <t>https://www.facebook.com/VBainimarama/</t>
  </si>
  <si>
    <t>FIJI FIRST PARTY</t>
  </si>
  <si>
    <t>https://www.facebook.com/VladaRepublikeSlovenije/</t>
  </si>
  <si>
    <t xml:space="preserve">Namen nastopa Vlade Republike Slovenije na Facebooku je informiranje državljanov o delu in odločitvah vlade, poglobitev dialoga med vlado in državljani Republike Slovenije ter spodbujanje razprave o delu in odločitvah vlade.
Trudili se bomo odgovoriti na vaša vprašanja in komentarje v razumnem času, a ne moremo zagotoviti, da bo vsak komentar deležen odziva.
Vlada Republike Slovenije ne more prevzeti nikakršne odgovornosti za objave in komentarje uporabnikov, ki so z uporabo družbenega omrežja Facebook sprejeli Pogoje uporabe https://www.facebook.com/policies/.
Želimo, da je Facebook stran Vlade Republike Slovenije prostor participacije državljanov, ne glede na njihova prepričanja in osebne okoliščine. Z namenom spodbujanja ustvarjalne in konstruktivne razprave ter izmenjave mnenj, v kateri se nihče ne bo počutil izključenega oziroma osebno prizadetega, vas prosimo, da se izogibate objavi poniževalnih ali žaljivih vsebin ter spodbujanju kakršnekoli oblike nestrpnosti ali diskriminacije. 
Prav tako ne objavljajte vsebin, ki predstavljajo kršitev avtorskih pravic ali vključujejo oglasno sporočilo ter ne objavljajte velikega števila ponavljajočih oziroma nesmiselnih objav v zelo kratkem času (spam). 
Pridržujemo si pravico brisanja objav in blokiranja uporabnikov, ki bodo vztrajno kršili postavljena pravila.
Skrbnik Facebook strani Vlade RS je Urad vlade za komuniciranje. </t>
  </si>
  <si>
    <t>1000 Ljubljana, Slovenia</t>
  </si>
  <si>
    <t>http://www.kmu.gov.ua/</t>
  </si>
  <si>
    <t>МОНГОЛ УЛСЫН ЗАСГИЙН ГАЗАР</t>
  </si>
  <si>
    <t>Foreign Minister Chrystia Freeland</t>
  </si>
  <si>
    <t>https://facebook.com/freelandchrystia</t>
  </si>
  <si>
    <t>Prime Minister Fernando Zavala</t>
  </si>
  <si>
    <t>https://facebook.com/Fernando-Zavala-Lombardi-153149818440394</t>
  </si>
  <si>
    <t>Foreign Minister Guðlaugur Þór</t>
  </si>
  <si>
    <t>Chrystia Freeland</t>
  </si>
  <si>
    <t>Sigo aprendiendo. Intentando innovar siempre y contribuyendo con mi pais.</t>
  </si>
  <si>
    <t>Cancillería Honduras</t>
  </si>
  <si>
    <t>President Radev Plumen</t>
  </si>
  <si>
    <t>President Donald Trump</t>
  </si>
  <si>
    <t>Igor Dodon</t>
  </si>
  <si>
    <t>President Igor Dodon</t>
  </si>
  <si>
    <t>https://www.facebook.com/dodon.igor1/</t>
  </si>
  <si>
    <t>https://facebook.com/dodon.igor1</t>
  </si>
  <si>
    <t>1984-1987
ECONOMIST, MINISTRY OF PLANNING, GOVERNMENT OF SAINT LUCIA
1987-1990
EXECUTIVE, EASTERN CARIBBEAN INVESTMENT PROMOTION SERVICE
1989 – 1991
VICE PRESIDENT OF SALES AND MARKETING
WINDJAMMER LANDING, SAINT LUCIA, WEST INDIES
Opened and launched a new 214-room luxury resort with the responsibility to promote and sell property on a global basis. Managed a US$1 Million budget creating and implementing all marketing activities, including setting rates, designing collateral, advertising campaigns, appointing and working closely with PR agencies and sales teams. Managed the distribution system of tour operators, travel agents, and direct bookings. Additional responsibilities included implementing a sales and marketing strategy for Villa Sales. 
1992 – 1994 
DIRECTOR OF TOURISM
SAINT LUCIA TOURIST BOARD, SAINT LUCIA, WEST INDIES 
Allen Chastanet served as the Director of Tourism for his native Saint Lucia where he was credited with bringing the small island into the forefront of the Caribbean’s tourism industry. He developed and managed all marketing and sales strategies to promote and position Saint Lucia as a leading tourist destination and established the now world renowned Saint Lucia Jazz festival. 
1994-1995 
DIRECTOR SALES AND MARKETING
ISLAND OUTPOST, MIAMI, FLORIDA
Worked directly with Chris Blackwell, founder of the Island Outpost brand of boutique hotels, Allen Chastanet was also responsible for 11 hotels in Miami’s South Beach, Jamaica and the Caribbean. However his primary responsibility was to select and manage all the PR and marketing agencies in the US, UK, Europe and the Caribbean. He incorporated the Island Records label and entertainment industry with the hospitality sector. 
1995 – 2003 
VICE PRESIDENT OF SALES AND MARKETING
AIR JAMAICA, MIAMI, FLORIDA
Starting as Director of Sales for North America in 1995, Allen Chastanet was quickly promoted to the position of Vice President of Sales, Worldwide and then Vice President of Sales and Marketing, Worldwide leading Air Jamaica’s global marketing and sales strategy. Under his guidance, Air Jamaica achieved unparalleled growth both in the leisure and Caribbean Diaspora markets. In addition, he was instrumental in starting the Air Jamaica Jazz and Blues Festival which today attracts record patrons and arrivals and generates strong expenditures, Islands in the Park and the Love Birds Kids' Program.
2001 – Allen Chastanet was named Travel Agent Magazine’s “Caribbean Destination Person of the Year”. 
OCTOBER 2003
MANAGING DIRECTOR, COCO RESORTS
SAINT LUCIA, WEST INDIES
Allen Chastanet was responsible for the day-to-day operations and marketing and sales efforts of the Caribbean’s newest boutique property in Rodney Bay, Saint Lucia.
Coco Palm, a 101-room property, has received numerous industry accolades since opening as under the Coco Kreole banner in September 2005. 
Coco Palm provides a quintessential Caribbean experience with all of the modern conveniences for the leisure and business traveler. 
2002 – 2004
CHAIRMAN 
CARIBBEAN HOTEL ASSOCIATION’S MARKETING COMMITTEE
2003
CHAIRMAN
ST. LUCIA HOTEL &amp; TOURISM ASSOCIATION'S MARKETING COMMITTEE
2004 
2ND VICE PRESIDENT
ST. LUCIA HOTEL &amp; TOURISM ASSOCIATION 
2005 – 2006 
CHAIRMAN 
CARIBBEAN HOTEL ASSOCIATION’S ADVOCACY COMMITTEE
NOVEMBER 2005 – 2006 
PRESIDENT
ST. LUCIA HOTEL &amp; TOURISM ASSOCIATION
DECEMBER 2006 - 2011
MINISTER FOR TOURISM &amp; CIVIL AVIATION
GOVERNMENT OF SAINT LUCIA
DECEMBER 2011- JUNE 2016
MANAGING DIRECTOR
COCO RESORTS
JUNE 2016- NOW
PRIME MINISTER- MINISTER OF FINANCE, ECONOMIC GROWTH, JOB CREATION, FOREIGN AFFAIRS &amp; PUBLIC SERVICE
GOVERNMENT OF SAINT LUCIA</t>
  </si>
  <si>
    <t>dodon.igor1</t>
  </si>
  <si>
    <t>http://dodon.md</t>
  </si>
  <si>
    <t>Igor Dodon (n. 18 februarie 1975, Sadova, raionul Călărași) este un politician și economist din Republica Moldova, care a îndeplinit funcția de prim-viceprim-ministru al Republicii Moldova din 2008 până în 2009 și ministru al economiei și comerțului din 2006 până în 2009. Este Președintele  Republicii Moldova.</t>
  </si>
  <si>
    <t>00 800 67 89 10 11</t>
  </si>
  <si>
    <t>http://www.gov.ge</t>
  </si>
  <si>
    <t>00224-626-66-14-85</t>
  </si>
  <si>
    <t>Primature-Palais de la Colombe, BP - 0318 Conakry, Guinea</t>
  </si>
  <si>
    <t>http://presidenri.go.id/</t>
  </si>
  <si>
    <t>Presiden Republik Indonesia yang berasal dari kalangan rakyat biasa. Pernah jadi Walikota Solo dan Gubernur Jakarta, Joko Widodo kini memimpin negara berpenduduk lebih dari 250 juta jiwa. Di tangannya, Indonesia kini sedang bergerak maju dengan slogan kerja, kerja, kerja.</t>
  </si>
  <si>
    <t xml:space="preserve">• Presiden Republik Indonesia (2014 - sekarang)
• Gubernur DKI Jakarta (2012 - 2014)
• Walikota Solo (2005 - 2012)
</t>
  </si>
  <si>
    <t>27 august 1991</t>
  </si>
  <si>
    <t>Ministerul Afacerilor Externe şi Integrării Europene îşi desfăşoară activitatea în conformitate cu Constituţia şi legile Republicii Moldova, Hotărârile Parlamentului, actele Preşedintelui Republicii Moldova, Hotărârile şi Dispoziţiile Guvernului, precum şi cu alte acte normative, tratate şi acorduri internaţionale la care țara noastră este parte.</t>
  </si>
  <si>
    <t>Ministerul Afacerilor Externe şi Integrării Europene este organul central de specialitate, ce promovează politica statului în domeniul relaţiilor externe</t>
  </si>
  <si>
    <t>საქართველოს საგარეო საქმეთა სამინისტრო / MFA of Georgia</t>
  </si>
  <si>
    <t xml:space="preserve">The President of the Republic of Lebanon General Michel AOUN
Born in Haret Hreik on September 30, 1933, to Naim and Marie Aoun.
Married to Nadia Chami since November 30, 1968, they have three daughters: Mireille, Claudine and Chantal.
 Academic Background:
•   He studied at the ‘Sacré-Cœur School’ (Frères) in Gemmayze till 1955
•   He joined the Military Academy in October 1955 and graduated as Second Lieutenant in the Artillery Corps September 30, 1958
 Training Sessions overseas:
•   1958 – 1959: Session on artillery application at Châlons–sur-Marne, France
•   1966: Advanced artillery session at the USA Army Artillery and Missile School, USA
•   1978 – 1980: Staff Session at the High War Institute, Paris - France
•   1983: Session on maneuvers at Fort Benning, USA
Decorations, Commendations and Felicitations:
-    National Decorations:
•  Medal of War, five times
• Medal for battle wounds
•  Lebanese Order of Merit, Extraordinary Grade
•  Lebanese Order of Merit, Grand Cordon
•  Lebanese Order of Merit, 1st grade
•  Lebanese Order of Merit, 2nd grade
•  Lebanese Order of Merit, silver
•  National Order of the Cedar, Grand Collar
•  National Order of the Cedar, Grand Cordon
•  National Order of the Cedar, Officer
•  National Order of the Cedar, Knight
•  Commemorative Medal of December 31, 1961
•  Commendation of the commander-in-chief of the Army six times
•  Felicitation of the commander-in-chief three times
-  Foreign Decorations:
•  Commander of the Legion of Honor,  France, January 29, 1986
 Military transfers and posts:
• Since his graduation from the Military Academy in 1958, he undertook many tasks and assumed numerous responsibilities in all Lebanese regions, till he became Chief of Staff of the Lebanese military Forces in charge of maintaining security in Beirut on August 14, 1982.
• On January 18, 1983 he was appointed Commander of the 8th Infantry Brigade.
• On June 23, 1984, he was appointed Commander-in-chief of the Army.
Political Assignments and responsibilities:
22/09/1988             He was appointed President of the Council of Ministers and Minister of National Defense and Information, by virtue of decrees 5387 and 5388, while keeping his military rank
04/10/1988             He was assigned ad interim with the duties of the ministries of Foreign Affairs and Emigrants, National Education and fine Arts, and Interior, in the absence of the original minister
13/10/1990             He moved to the embassy of France in Beirut, after the Syrian invasion, upon the request of Ambassador René Ala, in view of negotiating a cease-fire. He remained there till August 27, 1991
28/08/1991             He left Lebanon for France
07/05/2005             He returned to Beirut after the withdrawal of the Syrian forces from Lebanon
12/06/2005             He was elected Member of Parliament for the Kesserwan-Jbeil constituency, and headed the “Change and Reform Bloc” at  the Lebanese Parliament
18/09/2005             He was elected President of the “Free Patriotic Movement” party
07/06/2009             He was reelected Member of Parliament for the Kesserwan district
On October 31, 2016, he was elected President of the Republic of Lebanon. He is the thirteenth President after Independence.
 Main Speeches and Lectures:
11/06/1994              Address at the Lebanese National Conference, Paris
05/12/1995              Letter to the Synod for Lebanon
20/05/1996              Letter to the European Parliament, Strasbourg
12/03/1998              Lecture entitled “Lebanon: past, present and future”, ESSEC Institute, Paris
22/05/2000              Lecture at the French Parliament about the Lebanese situation
12/10/2000              Lecture entitled "Dialogue: Road to Salvation, Imperial College, London
23/02/2001              Lecture entitled "Ten years of peace without peace", Lyon – France
24/01/2002              Lecture entitled "Dialogue or confrontation between civilizations?", Versailles – France
07/03/2002              Lecture entitled "Stability in Lebanon and Peace in the Middle-east", ESSEC Institute, Paris
07/03/2003              Lecture at the Foundation for the Defense of Democracies, Washington
05/06/2003              Lecture entitled "World War 3, a war on terrorism”, ‘Institut d’Etudes Politiques (Sciences-Po)’, Paris
18/09/2003              Testimony at the US Congress in favor of the 'Lebanese Sovereignty Restoration Act'
21/11/2004              Official letter to the Lebanese parties and personalities and to the Syrian State to take part in a dialogue aimed at reaching an agreement about the Syrian withdrawal from Lebanon, which would be an honorable exit for all
07/04/2005              Lecture at the ‘Maison de la Recherche Paris Sorbonne’, Paris
22/11/2005              Lecture entitled "the New Lebanon, from liberation to reform, National Press Club, Washington
05/11/2008              Presentation of his defense strategy conception to the table of dialogue held at the Presidential Palace
10/10/2010              Letter to the Synod for the Levant
Publications:
"A certain vision of Lebanon", in French and Arabic, 2007
</t>
  </si>
  <si>
    <t>Kaloum Port autonome de Conakry, BP : 2519 Conakry, Guinea</t>
  </si>
  <si>
    <t>http://www.mofa.gov.iq/ab/</t>
  </si>
  <si>
    <t>http://www.mofa.go.jp/</t>
  </si>
  <si>
    <t>Hlboká cesta 2, 833 36 Bratislava, Slovakia</t>
  </si>
  <si>
    <t>Official Facebook page of Nana Addo Dankwa Akufo-Addo, President of the Republic of Ghana.</t>
  </si>
  <si>
    <t>In striving to create a clear and transparent government, His Excellency, Tommy E. Remengesau Jr., President of the Republic of Palau is proud to announce the creation of the Official Facebook Page for the Office of the President of the Republic of Palau.</t>
  </si>
  <si>
    <t>+680-488-4410</t>
  </si>
  <si>
    <t>13-15 St. Clair Avenue, St. Clair, 1868 Port of Spain, Trinidad and Tobago</t>
  </si>
  <si>
    <t>http://www.pmindia.gov.in/</t>
  </si>
  <si>
    <t>President Donald J. Trump</t>
  </si>
  <si>
    <t>www.WhiteHouse.gov</t>
  </si>
  <si>
    <t>45th President of the United States. Working on behalf of the American people to make our country great again. 
Comments and messages received through this account may be archived: wh.gov/privacy.</t>
  </si>
  <si>
    <t>https://www.facebook.com/POTUS/</t>
  </si>
  <si>
    <t>Secretaría General de Gobierno de Chile</t>
  </si>
  <si>
    <t>http://www.salvadorcumple.com</t>
  </si>
  <si>
    <t>0312 525 55 55</t>
  </si>
  <si>
    <t>Asiatisk Plads 2, 1448 København</t>
  </si>
  <si>
    <t>Uradna stran Vlade RS, na kateri lahko s svojimi objavami, komentarji in vprašanji vplivate na delo in sodelujete pri oblikovanju odločitev vlade.</t>
  </si>
  <si>
    <t>Welcome to the official White House Facebook page for the Trump Administration.
Comments posted on and messages received through White House pages are subject to the Presidential Records Act and may be archived. Learn more at WhiteHouse.gov/privacy.</t>
  </si>
  <si>
    <t>1600 Pennsylvania Avenue, Washington, District of Columbia 20500</t>
  </si>
  <si>
    <t>رئيس الحكومة التونسية</t>
  </si>
  <si>
    <t>https://facebook.com/GudlaugurThorXD</t>
  </si>
  <si>
    <t>Fernando Zavala Lombardi</t>
  </si>
  <si>
    <t>https://www.facebook.com/Fernando-Zavala-Lombardi-153149818440394/</t>
  </si>
  <si>
    <t>freelandchrystia</t>
  </si>
  <si>
    <t>The Honourable Chrystia Freeland, Canada's Minister of Foreign Affairs and Member of Parliament for University-Rosedale.
L’Honorable Chrystia Freeland, ministre des Affaires étrangères du Canada et députée pour University-Rosedale.</t>
  </si>
  <si>
    <t>https://www.facebook.com/freelandchrystia/</t>
  </si>
  <si>
    <t>Liberal Party of Canada</t>
  </si>
  <si>
    <t>416-928-1451</t>
  </si>
  <si>
    <t>Toronto, Ontario</t>
  </si>
  <si>
    <t>GudlaugurThorXD</t>
  </si>
  <si>
    <t>Guðlaugur Þór Þórðarson</t>
  </si>
  <si>
    <t xml:space="preserve">gudlaugurthor.is/
youtube.com/gudlaugurthor
twitter.com/gudlaugur_thor
http://www.pressan.is/Pressupennar/GudlaugurThorThordarson/
</t>
  </si>
  <si>
    <t>https://www.facebook.com/GudlaugurThorXD/</t>
  </si>
  <si>
    <t>Румен Радев</t>
  </si>
  <si>
    <t>Роден е на 18 юни 1963 г. в Димитровград.
През 1982 г. завършва със златен медал математическа гимназия в Хасково. Дипломира се във Висшето народно военновъздушно училище „Георги Бенковски“ – Долна Митрополия през 1987г. като първенец на випуска. 
През 1992 г. завършва ескадрилен офицерски курс „Максуел“, САЩ. 
От 1994 до 1996 г. е слушател в командно-щабния профил на Военната академия „Г. С. Раковски“. Дипломира се като първенец на випуска.
Доктор на военните науки в областта на усъвършенстването на тактическата подготовка на летателния състав и симулиране на въздушния бой.
През 2003 г. завършва с отличен успех Военновъздушния колеж „Максуел“, САЩ  със степен магистър по „Стратегически проучвания“.</t>
  </si>
  <si>
    <t>President Kersti Kaljulaid</t>
  </si>
  <si>
    <t>Governor Ricardo Rossello</t>
  </si>
  <si>
    <t>https://facebook.com/rrossello</t>
  </si>
  <si>
    <t>Page</t>
  </si>
  <si>
    <t>http://www.facebook.com/1191441824276882</t>
  </si>
  <si>
    <t>Ghana Ministry of Foreign Affairs &amp; RI</t>
  </si>
  <si>
    <t>Khemaies Jhinaoui خميّس الجهيناوي</t>
  </si>
  <si>
    <t>Présidence du Gouvernement Tunisien -  رئاسة الحكومة التونسية</t>
  </si>
  <si>
    <t>https://facebook.com/POTUS</t>
  </si>
  <si>
    <t>https://facebook.com/Presidencedugouvernementtunisien</t>
  </si>
  <si>
    <t>Ricardo Rossello</t>
  </si>
  <si>
    <t>rrossello</t>
  </si>
  <si>
    <t>https://facebook.com/President.bg</t>
  </si>
  <si>
    <t>http://www.facebook.com/544043002316611</t>
  </si>
  <si>
    <t>http://www.facebook.com/153149818440394</t>
  </si>
  <si>
    <t>http://www.facebook.com/54662962022</t>
  </si>
  <si>
    <t>http://www.facebook.com/1402324713341752</t>
  </si>
  <si>
    <t>Presidencedugouvernementtunisien</t>
  </si>
  <si>
    <t>President of Ireland / Uachtarán na hÉireann Michael D. Higgins</t>
  </si>
  <si>
    <t>http://www.facebook.com/107960225906378</t>
  </si>
  <si>
    <t>SarukaaruKhabaru</t>
  </si>
  <si>
    <t>President.bg</t>
  </si>
  <si>
    <t>http://www.facebook.com/1650025348648216</t>
  </si>
  <si>
    <t xml:space="preserve">Página oficial de La Fortaleza, centro de operaciones de la Rama Ejecutiva de Puerto Rico. 
Ricardo Rosselló Nevares - Gobernador de Puerto Rico </t>
  </si>
  <si>
    <t xml:space="preserve">الوزير التونسي للشؤون الخارجية
Ministre Tunisien des Affaires étrangères 
Tunisian Foreign Minister </t>
  </si>
  <si>
    <t>https://www.facebook.com/KhemaiesJhinaoui/</t>
  </si>
  <si>
    <t>50 Panama City, Panama</t>
  </si>
  <si>
    <t>http://www.rhc.jo/</t>
  </si>
  <si>
    <t>http://www.planparapuertorico.com</t>
  </si>
  <si>
    <t>https://www.facebook.com/rrossello/</t>
  </si>
  <si>
    <t xml:space="preserve">Doctor en Bioingeniería y Neurobiología. Es egresado del prestigioso Massachusetts Institute of Technology (MIT) con grados de bachiller en Química e Ingeniería Biomédica con concentración en Economía de Desarrollo.
	Fue en estos años que el joven Rosselló comienza a desarrollar un interés por las causas comunitarias, convirtiéndose en líder de varios programas sociales de su Universidad.  Por su dedicación a estas causas, fue galardonado con el Premio del Decano de MIT por Servicio Comunitario Sobresaliente.  Luego de su bachillerato, continuó su carrera académica en la Universidad de Michigan, donde cursó su maestría y su doctorado en las ciencias en las cuales se desempeña profesionalmente. Luego de concluir su estudios doctorales, realizó estudios post-doctorado en la Universidad de Duke donde también fungió como investigador. 
	Desde niño y adolescente tuvo inclinación por las ciencias, las matemáticas y los deportes, siendo en escuela superior el primer joven puertorriqueño en ser electo a participar en las Olimpiadas de Matemáticas Internacionales, celebradas en Argentina; convirtiéndose igualmente en Campeón Junior de Tenis de Puerto Rico por cuatro años consecutivos.  Desarrolló igualmente un sincero interés en la política pública y en el proceso de la toma de decisiones gubernamentales, percatándose a temprana edad de los efectos que puede tener la buena política pública sobre una jurisdicción y su pueblo.
	Con esa experiencia adquirida y en pleno desarrollo intelectual, el Dr. Rosselló Nevares comienza asimismo a involucrarse en diversas campañas políticas locales y nacionales.  Localmente, fue gestor de la iniciativa Rosselló TV para la campaña a la gobernación de su padre, el Dr. Pedro Rosselló, en el 2004, además de dirigir diversas facetas de la campaña del 2008.  A nivel nacional, sirvió como asistente del Asesor en Asuntos Hispanos para la campaña presidencial del General Wesley Clark, donde también desarrolló la posición del candidato sobre Puerto Rico. 
	Paralelamente, el Dr. Ricardo Rosselló incursionó en el mundo de los negocios creando un innovador sistema de encuestas de opinión pública que aplica nuevos descubrimientos en las ciencias cognoscitivas para efectuar dichas pesquisas en tiempo real.  Durante su etapa de experimentación, el sistema acertó 25 de 25 primarias nacionales en el 2007, ganándole la publicación de varios artículos en importantes medios informativos como The Huffington Post y Campaigns and Elections Magazine.  
Su trabajo investigativo ha sido galardonado con varios premios, incluyendo el Biomaterials Conference STAR Award, y ha sido publicado en varias revistas científicas, entre ellas el Communicative &amp; Integrative Biology Journal, además de la portada de julio de 2009 de la prestigiosa revista Proceedings of the National Academy of Science. Recientemente fue reconocido como “scholar” por la sociedad internacional de neurobiología.
	El Dr. Rosselló Nevares actualmente como Profesor de la Universidad Metropolitana y también fungió como Catedrático Auxiliar en el Recinto de Ciencias Médicas de la Universidad de Puerto Rico. 
</t>
  </si>
  <si>
    <t>Cumhurbaşkanlığı Külliyesi 06560 Beştepe-Ankara, 06000 Ankara, Turkey</t>
  </si>
  <si>
    <t>http://www.vlada.cz</t>
  </si>
  <si>
    <t>https://www.facebook.com/Presidencedugouvernementtunisien/</t>
  </si>
  <si>
    <t>صفحة باللغتين العربية والفرنسية
Page bilingue : arabe et français</t>
  </si>
  <si>
    <t>مرحبا  بكم في الصفحة الرسمية لرئاسة الحكومة التونسية التي نريدها صفحة لكل التونسيين على اختلاف توجهاتهم و آرائهم و أفكارهم فتونس تجمعنا و لا تفرقنا لذلك نرجوا أن تكون هذه الصفحة بوّابة للتفاعل بيننا لما فيه بناء  وطننا و مجتمعنا على ثقافة الحوار و المشاركة التي ناضل من أجلها أجيال من التونسيين و أهداها لنا شباب تونس في الثورة .
سنسعى من خلال هذه الصفحة إلى تكريس الشفافية و الوضوح معكم  لإطلاعكم على أنشطة الحكومة و مواقفها الرسمية و إنجازاتها في كل المجالات و ستكون الصفحة أيضا صوتكم الذي يصلنا  و تعبرون من خلالها عن آرائكم و تقييمكم لآداء حكومتكم بكل حرية و موضوعية في إطار من الإحترام المتبادل بين الشعب و حكومته ,
أخيرا , نرجو من كل زوارنا أن يتحلوا بقواعد الحوار الحضاري و يلتزموا بالجدية في إبلاغ صوتهم . كما نلفت انتباهكم إلى أننا نملك حق حذف التعليقات التي تخل بالآداب و تخرج عن إطار الحوار البناء و الموضوعي و الجاد .
مع كامل المحبة و الوفاء .
 رئاسة الحكومة 
مصالح الإعلام و الاتصال</t>
  </si>
  <si>
    <t xml:space="preserve">Les attributions de la Présidence du Gouvernement portent principalement sur les axes suivants: 
• la programmation et la coordination de l’action gouvernementale. 
• Le suivi et le contrôle général en matière des dépenses publiques en conformité avec les dispositions juridique et réglementaire en vigueur. 
• La supervision et le contrôle des actes se rapportant à l’administration et la fonction publique. 
• L’élaboration et la mise en œuvre des réformes et prospectives administratives. 
• L’étude et la mise au point des projets des textes à caractère législatif et réglementaire soumis par les différents départements ministériels. 
• Le suivi de l’organisation et des systèmes de productivité dans les établissements et les entreprises publiques. 
• La veille à l’amélioration de la qualité des prestations administratives. 
• La définition des orientations stratégiques en matière de l’e-gouvernement, la planification et la réalisation des plans y afférent sur le plan national.
</t>
  </si>
  <si>
    <t>(216) 71 560 400</t>
  </si>
  <si>
    <t>Place du Gouvernement - La Kasba ساحة الحكومة - القصبة, 1020 Tunis, Tunisia</t>
  </si>
  <si>
    <t>https://www.president.bg/</t>
  </si>
  <si>
    <t>Официална страница на Румен Радев - Президент на Република България</t>
  </si>
  <si>
    <t>https://www.facebook.com/President.bg/</t>
  </si>
  <si>
    <t>https://www.facebook.com/LatvianMFA/</t>
  </si>
  <si>
    <t>https://facebook.com/LatvianMFA</t>
  </si>
  <si>
    <t>https://facebook.com/SarukaaruKhabaru</t>
  </si>
  <si>
    <t>President Frank-Walter Steinmeier</t>
  </si>
  <si>
    <t>Palestine.PMO</t>
  </si>
  <si>
    <t>Active/Dormant (538 Active, 51 Dormant, 3 inactive)</t>
  </si>
  <si>
    <t>https://facebook.com/MaltaGov</t>
  </si>
  <si>
    <t>President Alexander Van der Bellen</t>
  </si>
  <si>
    <t>https://facebook.com/alexandervanderbellen</t>
  </si>
  <si>
    <t>Page Likes</t>
  </si>
  <si>
    <t>Alexander Van der Bellen</t>
  </si>
  <si>
    <t>alexandervanderbellen</t>
  </si>
  <si>
    <t>http://www.facebook.com/138508202860897</t>
  </si>
  <si>
    <t>Exteriores.maec</t>
  </si>
  <si>
    <t>Ministerul Afacerilor Externe şi Integrării Europene al Republicii Moldova</t>
  </si>
  <si>
    <t>http://www.facebook.com/735396419870282</t>
  </si>
  <si>
    <t>Dr. Miro Cerar</t>
  </si>
  <si>
    <t>مكتب رئيس الوزراء- فلسطين</t>
  </si>
  <si>
    <t>http://www.facebook.com/1220332944702810</t>
  </si>
  <si>
    <t>ไทยคู่ฟ้า</t>
  </si>
  <si>
    <t>http://www.facebook.com/154553218343826</t>
  </si>
  <si>
    <t>DannyARFaure</t>
  </si>
  <si>
    <t>Reign: 9 December 2006 - Present
Coronation: 1 November 2008
King Jigme Khesar Namgyel Wangchuck, born 21 February 1980, is the son of King Jigme Singye Wangchuck and is the current reigning Druk Gyalpo or Dragon King, of the Kingdom of Bhutan. He became King on 9 December 2006. A public coronation ceremony was held on 1 November 2008, an auspicious year that marked 100 years of Monarchy in Bhutan.
His Majesty's education was in schools within the country followed by high school and university in the USA and the UK. His Majesty also attended the 2005 program of the National Defence College in New Delhi, India. Furthermore, His Majesty has received Honorary Doctorates from the University of New Brunswick, Canada, Rangsit University, Thailand, Calcutta University, India, and most recently from Keio University, Japan.
Prior to Bhutan’s full transition to parliamentary democracy, His Majesty travelled across the country to meet with the people and discuss the then draft constitution introducing the new political system. Under the guidance of His Majesty The King and His Majesty the fourth King, the country has been advancing towards democratic governance from the early ‘80s. Following these consultations and detailed discussions in the National Assembly, the constitution of Bhutan was put to a nationwide referendum in June 2008, and adopted. His Majesty has stated that as King, one of his biggest and most sacred responsibilities is to strengthen parliamentary democracy in Bhutan.
Since the formal coronation, King Jigme Khesar's first landmark project was the launching of the National Cadastral Resurvey in March 2009. The programme is aimed at resolving long-standing land issues of excess land that affects every Bhutanese household. His Majest has also been giving land to landless farmers around the country. The on-going project takes His Majesty to remote villages and communities.
On 20 May 2011, His Majesty announced his engagement to Jetsun Pema. They Royal Couple were married on 13 October 2011 in the Punakha Dzong. During the ceremony the King also received the Crown of the Druk Gyaltsuen (Queen) from the most sacred Machhen temple of the Dzong and bestowed it on Her Majesty Jetsun Pema, hereby formally proclaiming her the Queen of the Kingdom of Bhutan.
Their Majesties' first child, His Royal Highness The Gyalsey Jigme Namgyel Wangchuck, was born on February 5th, 2016.</t>
  </si>
  <si>
    <t>Utanríkisráðherra og alþingismaður fyrir Sjálfstæðisflokkinn</t>
  </si>
  <si>
    <t>सर्वसाधारणका गुनासा सुन्ने नेपाल सरकारको आधिकारिक पेज ।</t>
  </si>
  <si>
    <t>सिंहदरबार, काठमाडौं ।, Kathmandu, Nepal</t>
  </si>
  <si>
    <t xml:space="preserve">Velkomin á Facebook síðu utanríkisráðuneytisins. Við fögnum allri umræðu á síðunni okkar en áskiljum okkur rétt til að fjarlægja meiðandi, niðrandi eða óviðeigandi ummæli um einstaklinga eða hópa. Að sjálfsögðu gilda hér líka almennar notendareglur Facebook (sjá á www.facebook.com/terms.php?ref=pf)
Allt efni sem sett er inn af öðrum aðilum en utanríkisráðuneytinu er á ábyrgð viðkomandi einstaklings.
Endilega kíkið á vefsíðurnar okkar fyrir frekari upplýsingar um starfsemi ráðuneytisins:
www.utanrikisraduneyti.is
www.mfa.is
Ef þú ert í neyð erlendis hafðu samband við borgaraþjónustuna okkar sem er opin allan sólahringinn í síma 545-9900. 
</t>
  </si>
  <si>
    <t xml:space="preserve">Vi utvärderar fortlöpande vår digitala närvaro och tar gärna emot tips och synpunkter på facebook@royalcourt.se </t>
  </si>
  <si>
    <t>Paraguayo Independiente c/ Ayolas, 8511 Asunción, Paraguay</t>
  </si>
  <si>
    <t xml:space="preserve">Willkommen auf der Facebook-Page des österreichischen Bundespräsidenten!
Diese Seite wird vom Team von Alexander Van der Bellen betreut. Persönliche Updates sind mit (vdb) gekennzeichnet.
</t>
  </si>
  <si>
    <t xml:space="preserve">Alexander Van der Bellen wird am 18. Jänner 1944 in Wien geboren. Seine Mutter ist gebürtige Estin, der Vater gebürtiger Russe mit niederländischen Vorfahren. Nach mehrmaliger Flucht vor den Sowjets findet die Familie in Österreich eine neue Heimat, zunächst in Wien, dann in Tirol. 
Das Kaunertal ist fortan jener Ort, der für Alexander Van der Bellen das Gefühl von Zuhause definiert.
Alexander Van der Bellen wächst als evangelisches Immigrantenkind in den Tiroler Bergen auf. Nach der Volksschule besucht er das Akademische Gymnasium in Innsbruck, wo er 1962 maturiert. Alexander Van der Bellen tritt in die Fußstapfen seines Vaters und studiert Volkswirtschaft an der Universität Innsbruck, wo er 1970 promoviert. Er arbeitet als Assistent am Institut für Finanzwissenschaft der Universität Innsbruck und am Internationalen Institut für Management und Verwaltung in Berlin. 
1975 wird er im Fach Finanzwissenschaften habilitiert. Er wird außerordentlicher Professor an der Universität Innsbruck, geht dann nach Wien und lehrt ab 1977 an der Verwaltungsakademie des Bundes, 1980 wird er als ordentlicher Universitätsprofessor für Volkswirtschaftslehre an die Universität Wien berufen.
Von 1990 bis 1994 ist er Dekan bzw. Stellvertretender Dekan der Fakultät für Sozial- und Wirtschaftswissenschaften der Universität Wien. Das Zusammenwirken von Wirtschaft, Politik und Forschung wird ihn ein Leben lang begleiten. Mitte der 1970er-Jahre tritt er der SPÖ bei, die er später wieder verlässt. Über seine zentralen Herzensthemen – ökologische Fragen und Menschenrechte – findet er den Weg zu den Grünen. An der Universität und in der Politik, als ein Mensch, der Bildung als Lebensprinzip erachtet, hat Van der Bellen sein Leben immer wieder in den Dienst der Weiterentwicklung der Gesellschaft gestellt.
</t>
  </si>
  <si>
    <t>https://www.facebook.com/alexandervanderbellen/</t>
  </si>
  <si>
    <t>Government Building</t>
  </si>
  <si>
    <t>Somos un organismo de carácter técnico político de la Presidencia de la República, por medio del cual el Poder Ejecutivo dirige los procesos de definición, instalación, monitoreo y evaluación de las Políticas Sociales de Gobierno.
El Gabinete Social está compuesto por ministros del Poder Ejecutivo, secretarios ejecutivos de las secretarías de la Presidencia de la República, titulares de las Instituciones de la Administración Central, directores de entidades binacionales y titulares de entes autónomos, autárquicos y descentralizados. Cuenta además con un Equipo Ejecutivo y una Unidad Técnica.
Este es el sitio oficial del Gabinete Social de la Presidencia de la República del Paraguay. El administrador se reserva el derecho de admisión y permanencia a todos los que atenten contra la dignidad de la institución, los protagonistas u otros usuarios.</t>
  </si>
  <si>
    <t>Somos un órgano técnico multidisciplinario orientado al cumplimiento de los objetivos del Gabinete Social, organismo que promueve, coordina y articula las políticas sociales con las instituciones y los actores involucrados para garantizar el Desarrollo Humano en el Paraguay.</t>
  </si>
  <si>
    <t>Ptte. Franco esq, Ayolas. Edificio Ayfra, piso 12, 1210 Asunción, Paraguay</t>
  </si>
  <si>
    <t>Consulate &amp; Embassy</t>
  </si>
  <si>
    <t xml:space="preserve">http://www.gov.bw/ </t>
  </si>
  <si>
    <t>http://www.presidencia.gob.hn/</t>
  </si>
  <si>
    <t>The latest official information from the Government of Belize. For queries, kindly e-mail us at info@pressoffice.gov.bz or call our office at 822-0092/822-0094.</t>
  </si>
  <si>
    <t>Educational Research Center</t>
  </si>
  <si>
    <t>www.thaigov.go.th/</t>
  </si>
  <si>
    <t>สำนักโฆษก สำนักเลขาธิการนายกรัฐมนตรี ได้เพิ่มอีกหนึ่งช่องทางเพื่อให้ประชาชนสามารถรับรู้ถึงข้อมูลข่าวสารที่ถูกต้อง รวมถึงแนวความคิดของรัฐบาล ความมุ่งมั่นของนายกรัฐมนตรี ในการบริหารจัดการเพื่อประโยชน์สุข และความเป็นอยู่ที่ดีขึ้นของคนไทยทุกคน</t>
  </si>
  <si>
    <t xml:space="preserve">• Academic Qualifications :
- PhD in Planning, Sorbonne University / Paris
- MBA in Management institutions, University of Michigan/The United States.
- Bachelors in Statistics, The American University of Beirut / Lebanon.
- Salt Secondary School, Al-Salt Jordan.
• Posts (Past &amp; Present)
• Ministerial Positions:
- Prime Minister and Minister of Defense
- Deputy Prime Minister.
- Minister of Foreign Affairs.
- Minister of Industry and Trade.
- Minister of Higher Education.
- Minister of Planning. 
- Minister of Education.
- Minister of Administrative Development.
- Media Minister.
-------------------------------------------
• Member of the Lower House of Representatives for the terms (1989-1993), (1993-1995), (2010-2012)
Committees:
Chairman of the Finance and Economic Committee. 
Member of the Foreign Affairs Committee.
Member of the Committee on Education and Higher Education. 
-------------------------------------------
• Member of the Upper House of Representatives for the terms (1997-2009), (2008-2010), (2014-2016), (2016-Presenet).
Committees: 
Member of the Finance Committee. 
Member of the Foreign Affairs Committee. 
-------------------------------------------
• Experiences and memberships, Current and previous councils:
- Director of the Budget Department.
- Ministry of Finance Secretary General.
- General Director of the Income Tax Department.
- Governor of Jordan at the World Bank.
- Deputy Governor of Jordan at the International Monetary Fund.
- Jordan's permanent delegate to UNESCO.
- Chairman of the Jordanian-French Business Club Management.
- Member of the Royal Commission National Ajenda.
- Chairman of the Royal Commission to strengthen national integrity system.
- The official spokesman and a member of the Royal Commission for Jordan First.
- Chairman of the Higher Education Council.
- Chairman of the Board of Trustees of the University of Jordan Zaitouna.
- Vice Chairman of the Board of Trustees of the University of Science and Technology.
- Vice Chairman of the Board of Trustees of the Balqa Applied University.
- Vice Chairman of the Board of Trustees of the Hashemite University.
- Member of the Board of Trustees of the University of Jordan.
- Member of the Board of Rights in the University of Jordan.
- Administrative and Financial Director of the Royal Scientific Society.
- Member of the National Commission for Development Planning.
- Chairman of the Supreme Council for the fight against illiteracy.
- Chairman of the Cement Company.
- Vice Chairman of the phosphate company.
- Vice Chairman of the Iraqi Jordanian Land Transport Company.
- Member of the Board of Management of Bank of Jordan.
- Member of the Council of Arab African International Bank.
- Member of the Council of Arab Company for Investment Management.
- Member of the Board of Directors of Aqaba Railway.
- Member of the Board of Royal Jordanian Management.
- Member of the Board of Jordan Investment Corporation management.
- Member of the Board of Management the authority of the port of Aqaba.
- Member of the Board of Jordan Enterprise Manager for the development of economic projects.
- Board Member of Emaar Salt Foundation.
- Board Member of the Noor Al Hussein Foundation.
- Board Member of the Queen Alia Fund Management.
- Chairman of the newspaper Voice of the People.
- Chairman of the Board of Directors Haya Cultural Center.
- Chairman of the graduates of French universities Club.
- Member of the Board graduates of American universities Club.
- Teacher and director in the Ministry of Education.
-------------------------------------------
• Medals, Orders and Awards: 
- Supreme Order of the Renaissance
- Ordre National de la Légion d'honneur/ France
- Istiqlal Medal of the First Order
- Kawkab Medal of the First Order
- Education Jordanian Medal – Excellence 
</t>
  </si>
  <si>
    <t>http://www.presidence.ci/</t>
  </si>
  <si>
    <t>Page Facebook officielle de la Présidence de la République de Côte d'Ivoire.</t>
  </si>
  <si>
    <t>Abidjan, Cote d'Ivoire</t>
  </si>
  <si>
    <t>http://www.malawi.gov.mw</t>
  </si>
  <si>
    <t>8th President of The Republic o Somalia</t>
  </si>
  <si>
    <t>#3, Samdech HUN SEN Street, Tonlé Bassac, Chamkarmon, Phnom Penh 12301</t>
  </si>
  <si>
    <t>https://www.facebook.com/Exteriores.maec/</t>
  </si>
  <si>
    <t>Plaza de la Provincia, 1, 28012 Madrid, Spain</t>
  </si>
  <si>
    <t>http://www.sarukaarukhabaru.gov.mv/</t>
  </si>
  <si>
    <t>https://www.facebook.com/SarukaaruKhabaru/</t>
  </si>
  <si>
    <t>Sarukaaru Khabaru is a government newswire organization established to supply news reports to news organizations: newspapers, magazines, radio and television-broadcasters. 
Sarukaaru Khabaru also share local/ international news articles related to government of Maldives.
www.news.gov.mv</t>
  </si>
  <si>
    <t>•President of the Lebanese Republic
•Former Head of the Change and Reform bloc
•Former Prime Minister
•Former Commander in Chief of the Armed Forces</t>
  </si>
  <si>
    <t>Le français suit
Chrystia Freeland is Canada's Minister of Foreign Affairs and the Member of Parliament for University-Rosedale. 
She was born in Peace River, Alberta and studied at Harvard where she received her undergraduate degree, and continued her studies on a Rhodes Scholarship at Oxford University.
After cutting her journalistic teeth as a Ukraine-based stringer for the Financial Times, Washington Post, and The Economist, Chrystia went on to wear many hats at the Financial Times, including deputy editor, UK news editor, Moscow bureau chief, Eastern Europe correspondent, editor of its weekend edition, and editor of FT.com.
Between 1999 and 2001, she served as deputy editor of The Globe and Mail, before becoming a managing editor at the Financial Times.
In 2010, Chrystia joined Canadian-owned Thomson Reuters as editor-at-large. She most recently worked as Managing Director and Editor of Consumer News.
Chrystia was a weekly columnist for the Globe and Mail, writing extensively about the challenges facing the middle class.
Her books include Sale of a Century: The Inside Story of the Second Russian Revolution (2000) and Plutocrats: The Rise of the New Global Super-Rich and the Fall of Everyone Else (2012).
She is married and the proud mother of three children, raising them in Toronto.
-------------------------------------------------------------------------------
Chrystia Freeland est ministre des Affaires étrangères du Canada et députée pour University-Rosedale.
Elle est née à Peace River en Alberta. Elle a étudié à Harvard où elle a obtenu son diplôme de premier cycle et a par la suite poursuivi ses études à l'Université d'Oxford en tant que boursière Rhodes.
Après avoir travaillé en Ukraine comme correspondante étrangère pour le Financial Times, le Washington Post et The Economist, Chrystia a eu divers rôles au Financial Times, tel que rédactrice adjointe, rédactrice des nouvelles britanniques, chef du bureau de Moscou, correspondante pour l’Europe de l’Est, rédactrice en chef de l’édition week-end, et rédactrice de FT.com.
Entre 1999 et 2001, elle a été rédactrice adjointe du Globe and Mail, puis rédactrice en chef du Financial Times.
En 2010, Chrystia a rejoint la société canadienne Thomson Reuters, où elle fut notamment directrice-gestionnaire et rédactrice pour la section Consommation.
Chrystia a aussi été chroniqueuse pour le Globe and Mail, où elle a écrit abondamment sur les défis auxquels fait face la classe moyenne.
Elle est l’auteure de plusieurs ouvrages, dont ‘Sale of a Century : The Inside Story of the Second Russian Revolution’ (2000) et ‘Plutocrats: The Rise of the New Global Super-Rich and the Fall of Everyone Else’ (2012).
Elle est mariée et fière mère de trois enfants qu’ils élèvent à Toronto.</t>
  </si>
  <si>
    <t>Calle San José, Esq. San Francisco, 00902 San Juan, Puerto Rico</t>
  </si>
  <si>
    <t>Calle 10 # 5-51, Bogotá, Colombia</t>
  </si>
  <si>
    <t>Gob.mx
Es el portal único de trámites, información y participación ciudadana.
Atendiendo a los términos y condiciones de esta red social, visita nuestros términos de uso: http://www.gob.mx/gobmx/articulos/terminos-de-uso?idiom=es</t>
  </si>
  <si>
    <t>opm.gov.mt</t>
  </si>
  <si>
    <t>The Official Facebook Page of the Government of Malta</t>
  </si>
  <si>
    <t>https://www.facebook.com/MaltaGov/</t>
  </si>
  <si>
    <t>Auberge De Castille, VLT 1102 Valletta, Malta</t>
  </si>
  <si>
    <t>Igor Dodon (n. 18 februarie 1975, satul Sadova, raionul Calarași) - Președintele Republicii Moldova</t>
  </si>
  <si>
    <t>http://www.vlada.si/predsednik_vlade/</t>
  </si>
  <si>
    <t>Uradni profil Dr. Mira Cerarja, predsednika vlade Republike Slovenije in stranke SMC.</t>
  </si>
  <si>
    <t>Sapedar palace, Sulh Road, Kabul, Afghanistan0093702103333, Kabul, Afghanistan</t>
  </si>
  <si>
    <t>https://facebook.com/Palestine.PMO</t>
  </si>
  <si>
    <t>President Danny Faure</t>
  </si>
  <si>
    <t>https://facebook.com/DannyARFaure</t>
  </si>
  <si>
    <t>Foreign Minister Kamina J Smith</t>
  </si>
  <si>
    <t>https://twitter.com/kaminajsmith</t>
  </si>
  <si>
    <t>kaminajsmith</t>
  </si>
  <si>
    <t>https://facebook.com/kaminajsmith</t>
  </si>
  <si>
    <t>President Jovenel Moïse</t>
  </si>
  <si>
    <t>Prime Minister Jack Guy Lafontant</t>
  </si>
  <si>
    <t>jovenelmoise</t>
  </si>
  <si>
    <t>Prime Minister Emmanuel Issoze Ngondet</t>
  </si>
  <si>
    <t>https://facebook.com/Emmanuel-Issoze-Ngondet-1705779776380977/</t>
  </si>
  <si>
    <t>Foreign Minister Aloysio Nunes Ferreira</t>
  </si>
  <si>
    <t>https://facebook.com/aloysionunes</t>
  </si>
  <si>
    <t>https://facebook.com/jglafontant</t>
  </si>
  <si>
    <t>https://facebook.com/jovenelmoise</t>
  </si>
  <si>
    <t>Aloysio Nunes Ferreira</t>
  </si>
  <si>
    <t>aloysionunes</t>
  </si>
  <si>
    <t>http://www.facebook.com/154092474632496</t>
  </si>
  <si>
    <t>Danny Faure</t>
  </si>
  <si>
    <t>http://www.facebook.com/121970121613451</t>
  </si>
  <si>
    <t>Jack Guy Lafontant</t>
  </si>
  <si>
    <t>jglafontant</t>
  </si>
  <si>
    <t>http://www.facebook.com/169635546877605</t>
  </si>
  <si>
    <t>Président Jovenel Moïse</t>
  </si>
  <si>
    <t>http://www.facebook.com/1390429167954248</t>
  </si>
  <si>
    <t>Emmanuel Issoze Ngondet</t>
  </si>
  <si>
    <t>http://www.facebook.com/1705779776380977</t>
  </si>
  <si>
    <t>https://facebook.com/TheAsoVilla</t>
  </si>
  <si>
    <t>TheAsoVilla</t>
  </si>
  <si>
    <t>President Aleksandar Vučić</t>
  </si>
  <si>
    <t>Kamina Johnson Smith</t>
  </si>
  <si>
    <t>http://www.facebook.com/682597888444503</t>
  </si>
  <si>
    <t>Aso Rock Villa</t>
  </si>
  <si>
    <t>http://www.facebook.com/448436902013711</t>
  </si>
  <si>
    <t>https://www.facebook.com/VillaSomaliaOfficial/</t>
  </si>
  <si>
    <t>https://www.facebook.com/TheAsoVilla/</t>
  </si>
  <si>
    <t>https://facebook.com/CancilleriaEcuador</t>
  </si>
  <si>
    <t>https://facebook.com/Exteriores.maec</t>
  </si>
  <si>
    <t>https://facebook.com/presidencebenin</t>
  </si>
  <si>
    <t>https://facebook.com/Ukgovernment</t>
  </si>
  <si>
    <t>http://www.facebook.com/pages/Aloysio-Nunes-Ferreira/154092474632496</t>
  </si>
  <si>
    <t>Ministro das Relações Exteriores e Vice-presidente do PSDB nacional</t>
  </si>
  <si>
    <t>https://www.facebook.com/aloysionunes/</t>
  </si>
  <si>
    <t>São Paulo, Brazil</t>
  </si>
  <si>
    <t>http://www.diplo.de</t>
  </si>
  <si>
    <t>Mit seiner Zentrale in Berlin und Bonn und seinem Netz von rund 230 Auslandsvertretungen pflegt das Auswärtige Amt die Beziehungen Deutschlands zu anderen Staaten sowie zu den zwischen- und überstaatlichen Organisationen.
Dabei geht es nicht nur um politische Kontakte zwischen Regierungen und Parlamenten. Deutschland und seine Gesellschaft sind international immer stärker vernetzt. Das Auswärtige Amt fördert daher einen intensiven Austausch mit der Welt in Wirtschaft, Kultur, Wissenschaft und Technologie, Umwelt, Entwicklungsfragen und vielen weiteren Themen.
Viele aktuelle Herausforderungen können nicht mehr von einzelnen Staaten, sondern nur gemeinsam mit vielen internationalen Partnern bewältigt werden. Dazu gehören beispielsweise regionale Konflikte, terroristische Gefahren, die Verbreitung von Massenvernichtungswaffen und die Verletzung von Menschenrechten. Daher wird die Mitarbeit Deutschlands in internationalen Gremien immer wichtiger. Gleichzeitig setzt sich Deutschland für eine weitere Stärkung der Europäischen Union ein. Auch hier bündelt das Auswärtige Amt deutsche Interessen und formuliert Fachpositionen zu einer geschlossenen deutschen Außen- und Sicherheitspolitik.</t>
  </si>
  <si>
    <t>Plaza Murillo c. Ingavi esq. c. Junín, 591 La Paz, Bolivia</t>
  </si>
  <si>
    <t xml:space="preserve">Official page of Danny Faure, President of the Republic of Seychelles. </t>
  </si>
  <si>
    <t>"We stand to achieve so much more as a nation and as a people if we overcome that which divides us. Let the differences in our political opinions be a source of strength that dynamises our democracy and not one that chokes it. The ground we stand on unites us; if we put the interests of the Seychellois people and Seychelles before everything else, we will reach our incredible potential." - President Faure, Inaugural Address, 16/10/2016</t>
  </si>
  <si>
    <t>https://www.facebook.com/DannyARFaure/</t>
  </si>
  <si>
    <t>http://ec.europa.eu</t>
  </si>
  <si>
    <t xml:space="preserve">الصفحة الرسمية لحكومة دولة فلسطين 
تديرها وحدة الإعلام في مكتب رئيس الوزراء </t>
  </si>
  <si>
    <t>www.jackguylafontant.com</t>
  </si>
  <si>
    <t xml:space="preserve">Page officielle du Premier Ministre de la République d'Haïti. </t>
  </si>
  <si>
    <t>https://www.facebook.com/jglafontant/</t>
  </si>
  <si>
    <t>http://www.jovenelmoise.ht</t>
  </si>
  <si>
    <t>Page officielle de Jovenel Moïse, 58e Président de la République d'Haïti.</t>
  </si>
  <si>
    <t>Jovenel Moïse est né au Trou du Nord (département du Nord-Est) le 26 juin 1968 d’une famille modeste. C’est de son père, Etienne Moïse, mécanicien et agriculteur, qu’il a hérité de son amour de la terre. Sa mère, Lucia Bruno, de regrettée mémoire, couturière, commerçante, lui a appris, en plus des valeurs civiques et morales, le sens de la responsabilité dès l’enfance. Ses parents, en dépit de leur éducation limitée, ont su lui transmettre des principes stricts et une discipline rigoureuse. Ces fortes valeurs alliées à ses capacités innées ont permis à Jovenel Moïse, le « natif-natal », de toujours se distinguer et ont fait de lui aujourd’hui un agro-entrepreneur à succès et un modèle indéniable pour notre société.     
Émigré avec sa famille à Port-au-Prince en juillet 1974, il a continué ses études primaires à l’Ecole Nationale Don Durélin, et poursuivit ses études secondaires au Lycée Toussaint Louverture d'abord; ensuite, au Centre Culturel du Collège Canado Haïtien. 
Plus tard il fréquente la Faculté des Sciences de l'Education de L'Université Quisqueya. Malgré son avenir d’éducateur déjà tracé, il change de direction pour se lancer dans l’entreprenariat. En 1996, il épouse sa camarade de classe Martine Marie Etienne Joseph. La même année, ce jeune homme entreprenant, mature et plein d’enthousiasme, quitte la capitale et s’installe à Port-de-Paix avec le rêve ardent de développer l’arrière pays, rêve qui ne le quittera jamais. 
Avec très peu de capital d'investissement, il crée sa première entreprise à Port-de-Paix, JOMAR Auto Parts, encore opérationnelle à nos jours. C’est à partir de cette petite entreprise, crée avec son épouse, que tous les projets du couple Moïse commencent à prendre corps. La même année, son amour de la terre oriente ses efforts vers la mise en place d’un projet agricole. Cette fois-ci Jovenel met sur pied une plantation de bananes s'étendant sur 10 hectares dans le Département du Nord-Ouest. 
« Ce projet est l’aboutissement d’une réflexion qui est née il y a longtemps. C’est mon amour de la nature et du terroir qui m’a conduit à orienter ma formation, mes activités professionnelles et personnelles, vers le développement de la paysannerie, la protection de l’environnement, et plus précisément, l’agriculture écologique, éthique et solidaire. »
Peu de temps après, sa femme attend une fille, et le futur père de famille, prend conscience que l’accès à l’eau potable représente un enjeu majeur dans l’arrière pays, et se lance encore dans un projet innovateur. Fort de ses expériences et décidé d’apporter une solution, il se met en partenariat avec la compagnie Culligan de Port-au-Prince. En 2001, Jovenel combine des prêts d’institutions financières et de particuliers, non sans difficulté, et débute une usine d’eau qui distribuera de l’eau potable dans les régions du Nord-Ouest et du Nord-Est. 
A partir de ses succès dans le monde des affaires et son désir d’appuyer le développement communautaire, Jovenel devient membre de la Chambre de Commerce et de l’Industrie du Nord-Ouest (CCINO) en 2004. Encore il se distingue par son leadership naturel et en très peu de temps,  il est élu président de la CCINO. En effet, sa capacité à bâtir une synergie de groupe vers la réalisation d’un objectif commun, lui gagne de devenir secrétaire général de la Chambre de Commerce et de l'Industrie d'Haïti (CCIH). En leader dynamique, il joue un rôle prépondérant dans l’intégration des chambres de commerce régionales afin d’assurer leur pleine et juste représentation au sein de la Chambre de Commerce Nationale.
Entrepreneur perspicace, Moïse sait identifier les problèmes et les transformer en opportunités au bénéfice de tous. Intéressé par l'électrification régionale, il forme en 2008 une autre compagnie, la Compagnie Haïtienne d'Energie S.A. (COMPHENER S.A.) cette fois ci avec des associés. Ils désirent, à travers ce projet, apporter l'énergie solaire et éolienne aux 10 communes du département du Nord-Ouest. 
Il fonde AGRITRANS S.A. en 2012, portant le projet agricole NOURRIBIO, au Trou du Nord, à devenir la toute première Zone Franche Agricole haïtienne. Avec ce projet, Jovenel Moïse a pu « transformer un site voué à l’abandon en un projet de développement durable intégré et qui servira de modèle pour le développement du secteur agricole en Haïti ». Ce n’est qu’un début vers la réalisation du rêve de Jovenel, proclamé « nèg banann nan » (l’homme de la banane) qui est de refaire d’Haïti un pays « essentiellement agricole ». 
Le projet NOURRIBIO a déjà permis l'émergence de plus d'une dizaine de projets agricoles qui ont créé près de 3,000 emplois directs et 10,000 emplois indirects. Ce projet est le plus innovant en Haïti et le plus grand que la Caraïbe ait connu jusqu'à date. Pour Moïse, il est important qu’Haïti retrouve sa place sur la carte mondiale des pays exportateurs. 
Ce leader a l’art de donner du sens et de mobiliser les foules. Persévérant et débrouillard, Jovenel est un exemple non seulement dans ses paroles, mais surtout dans ses actions qui produisent un effet beaucoup plus fort que ce qu’il dit. Jovenel Moïse est porteur d’une expérience éprouvée par le façonnement de consensus et de collaboration entre des groupes de personnes ayant des intérêts différents. Grâce à son charisme, il a l’art de communiquer une vision inspirante pour tous et pour chacun. Son sens de responsabilité demeure la pierre angulaire de sa réussite, dans ses entreprises, dans sa famille et dans son pays. C’est un promoteur, réceptif et attentif, qui croit en l’harmonie, et cherche la cohésion. Il favorise les interactions et comprend les besoins de l’équipe, qu’il cherche à satisfaire.
En 2015, le Président de la République d’Haïti, Michel Joseph Martelly, désigne Jovenel Moïse comme candidat à la présidence du parti politique qu’il a fondé, le Parti Haïtien Tèt Kale (PHTK). Le Président Martelly voit en Jovenel un « agent de production nationale » ayant toutes les capacités de pérenniser sa vision d’une « Haïti transformée ».  Pour Jovenel Moïse, ce sont les objectifs socio-économiques nationaux qui priment. « Mon leadership, axé sur les résultats,  guidera mon gouvernement tout en m’efforçant de rendre mon pays encore plus fort et meilleur pour l’ensemble des familles haïtiennes.» 
Jovenel Moïse marchande, partout ou il passe, sa vision d’agriculture bioécologique comme moteur de l’économie haïtienne, créatrice d’emplois et génératrice de richesses pour une population dont plus de 50% est rurale. Il propose l’agriculture comme point de départ pour la relance économique. Sa politique englobe aussi les éléments qui ont été le cheval de bataille de Martelly: l’éducation pour tous, l’accès à la santé, la réforme de l’énergie, l’état de droit, la création d’emplois durables, la protection de l’environnement, et le développement d’Haïti come une destination touristique en y ajoutant l’éco-tourisme et l'agro-tourisme. La passion pour le développement du pays, les capacités innovantes, le leadership naturel  et la vision progressiste pour Haïti, dont fait montre Jovenel Moïse, sont des atouts majeurs pour faire face au défi de la relance économique et structurelle d’une nouvelle Haïti.</t>
  </si>
  <si>
    <t>https://www.facebook.com/jovenelmoise/</t>
  </si>
  <si>
    <t>PHTK – Parti Haïtien Tèt Kale</t>
  </si>
  <si>
    <t xml:space="preserve">Senator and Minister of Foreign Affairs &amp; Foreign Trade. Believer in a Better Jamaica. </t>
  </si>
  <si>
    <t>Senator Kamina Johnson Smith was appointed a Government Senator of Jamaica in December 2009 and on a change of Administration, was re-appointed to the Senate in January 2012 where she serves as the Opposition Whip.  
In the Senate, she speaks on matters related to Governance, Education, Health and Gender and recently tabled motions demanding the reintegration of teen mothers to the formal school system and the review of laws in relation to violence against women, children, the elderly and persons living with disabilities.
Senator Johnson Smith holds a Master of Laws in Commercial Law from the London School of Economics and Political Science, a Bachelor of Laws from the University of West Indies, Cave Hill and a Bachelor of Arts in French and International Relations from University of the West Indies, Mona.  Senator Johnson Smith is also a graduate of the Norman Manley Law School where she was Valedictorian, the recipient of awards in Legal Remedies and Advocacy and represented the school as Lead Advocate in mooting competitions in Trinidad and Malaysia. 
An attorney-at-law with approximately 15 years at the Jamaican Bar, Mrs. Johnson Smith is currently Company Secretary and Head of Corporate Affairs &amp; Projects (Legal) at LIME. She has represented the Company on the POSJ Corporate Governance Committee for several years.
She is married, is highly committed to public service and volunteerism, and has successfully managed several projects of the LIME Foundation, including the hosting of an international conference on Children and the Internet, collection and distribution of hurricane relief; and the establishment of a computer center and training programme at the Athlone Wing of the Sir John Golding Rehabilitation Center, a residential home for children living with physical disabilities.  She has also served as Director of the Factories Corporation of Jamaica and the Early Childhood Commission.
Senator Johnson Smith believes passionately that Jamaica’s best days still lie ahead, but that without transformation of our political culture, and without increased focus on the development of Jamaica’s human resources through education, better parenting and better planning, we put our potential at risk.</t>
  </si>
  <si>
    <t>https://www.facebook.com/kaminajsmith/</t>
  </si>
  <si>
    <t>https://www.premier.gov.pl</t>
  </si>
  <si>
    <t>Region</t>
  </si>
  <si>
    <t>www.mae.ro</t>
  </si>
  <si>
    <t>http://mfa.gov.af</t>
  </si>
  <si>
    <t>Welcome to the Official Facebook Page of the Ministry of Foreign Affairs of the Islamic Republic of Afghanistan. Delivering Latest News of the Ministry of Foreign Affairs. 
http://mfa.gov.af</t>
  </si>
  <si>
    <t xml:space="preserve">This is the official Facebook Account of the Ministry of Foreign Affairs and  International Cooperation of the Federal Republic of Somalia.
</t>
  </si>
  <si>
    <t xml:space="preserve">The Ministry of Foreign Affairs and International Cooperation of the Federal Republic of Somalia has created this Facebook page as a resource of information on the foreign relations and to provide updates on the Ministry and its Missions' activities to the general public.
This account is managed by :
- Qeybta Warbaahinta iyo Xiriirka Bulshada ee Wasaaradda.
- Section of Press and Public Relations of the Ministry.
-   القسم الصحفي والعلاقات العامة للوزارة
User comments posted on this page do not constitute an official endorsement on behalf of the Ministry of Foreign Affairs and  International Cooperation.
User posting guidelines:
So as encourage the expression of opinions and open discussion with Ministry staff, we have enabled user posting on the wall but ask that you respect our user posting guidelines:
• Violent, obscene, profane, hateful, or racist content will be deleted and repeat offenders blocked from the page without notice.
• Comments that threaten or defame any person or organization will be deleted and repeat offenders blocked from the page without notice.
• Solicitations, advertisements, or endorsements of any financial, commercial organizations will be deleted and repeat offenders blocked from the page without notice.
If you have any query, please feel free to contact with the Head Section of Press and Public Relations ( PPR) of the Ministry of Foreign Affairs and  International Cooperation through the following Emails :
ppr@mfa.gov.so
ppublicrelation@gmail.com
</t>
  </si>
  <si>
    <t>Москва,  Смоленская-Сенная пл., 32/34, Moscow, Russia, 119200</t>
  </si>
  <si>
    <t>http://www.mre.gov.py</t>
  </si>
  <si>
    <t>Palma Esq./ 14 de mayo, 2239 Asunción, Paraguay</t>
  </si>
  <si>
    <t>www.palgov.ps</t>
  </si>
  <si>
    <t>https://www.facebook.com/Palestine.PMO/</t>
  </si>
  <si>
    <t>الماصيون- وزارة التخطيط- ط 4, Ramallah</t>
  </si>
  <si>
    <t>República Dominicana, 10205 Santo Domingo, Dominican Republic</t>
  </si>
  <si>
    <t>Vi svarer på generelle henvendelser i departementets åpningstid 09.00-16.00 (norsk tid). 
I henhold til norsk lov, har vi ikke mulighet til å behandle enkeltsaker på Facebook. Har du en enkeltsak som du ønsker at Utenriksdepartementet skal behandle, ber vi deg om å kontakte oss på post@mfa.no eller på telefon +47 23 95 00 00 (konsulære saker). Du kan også kontakte nærmeste utenriksstasjon i utlandet. 
Veggen er åpen for alle. Vi ber deg tenke gjennom hvilke opplysninger du legger ut. Ta vare på ditt eget og andres privatliv. UD forbeholder seg retten til, uten ytterligere forvarsel, å slette innlegg som oppfattes som støtende, krenkende, truende eller på annen måte representerer uakseptable former for ytringer. Dette inkluderer, men begrenser seg ikke til, ytringer som vurderes å være ærekrenkende, pornografiske eller rasistiske.
Kommentarer skal heller ikke brukes til kommersiell markedsføring. UD står ikke ansvarlig for innhold på eksterne sider som det lenkes til fra Facebook.</t>
  </si>
  <si>
    <t>https://www.facebook.com/Emmanuel-Issoze-Ngondet-1705779776380977/</t>
  </si>
  <si>
    <t>https://facebook.com/VillaSomaliaOfficial</t>
  </si>
  <si>
    <t>VillaSomaliaOfficial</t>
  </si>
  <si>
    <t>This is Villa Somalia, The Somali Presidential Palace page on Facebook.</t>
  </si>
  <si>
    <t>Aso Rock Presidential Villa is the Office &amp; Residence of the President of the Federal Republic of Nigeria, &amp; the Seat of the Federal Government of Nigeria</t>
  </si>
  <si>
    <t>Aso Rock Presidential Villa is the Office and Residence of the President of the Federal Republic of Nigeria.
It is also known as Aso Villa, Aso Rock, The Villa, Presidential Villa, and State House. 
It was opened in 1991, and takes its name from Aso Rock, the 400m granite outcrop next to which which it was built</t>
  </si>
  <si>
    <t>Three Arms Zone, Central Business District, Ikeja</t>
  </si>
  <si>
    <t>الإمام الخامنئي</t>
  </si>
  <si>
    <t>Foreign Minister Phạm Bình Minh</t>
  </si>
  <si>
    <t>Prime Minister Karen Karapetyan</t>
  </si>
  <si>
    <t>https://facebook.com/Karen.Karapetyan</t>
  </si>
  <si>
    <t>https://facebook.com/Kancelaria-Prezydenta-RP-112191058856046</t>
  </si>
  <si>
    <t>https://facebook.com/LeninMorenoEC</t>
  </si>
  <si>
    <t>President Lenín Moreno</t>
  </si>
  <si>
    <t>Lenín Moreno</t>
  </si>
  <si>
    <t>Presidente de la República Argentina. Miembro fundador de PRO Argentina y Cambiemos. Casado. 4 hijos. Hincha de Boca.</t>
  </si>
  <si>
    <t>Официальный ресурс Премьер-Министра Республики Казахстан</t>
  </si>
  <si>
    <t>Le portail d'information du Togo</t>
  </si>
  <si>
    <t>Ministry of Foreign Affairs and Expatriates- Hashemite Kingdom of Jordan</t>
  </si>
  <si>
    <t>Kantor Staf Presiden Republik Indonesia</t>
  </si>
  <si>
    <t>KantorStafPresidenRI</t>
  </si>
  <si>
    <t>http://www.facebook.com/206588216425327</t>
  </si>
  <si>
    <t>LeninMorenoEC</t>
  </si>
  <si>
    <t>http://www.facebook.com/402027323290064</t>
  </si>
  <si>
    <t>2430 Stone Rd. #, 0001 Pretoria, South Africa</t>
  </si>
  <si>
    <t xml:space="preserve">www.ps.al </t>
  </si>
  <si>
    <t>Pensamiento político y mensajes de Salvador Sánchez Cerén, Presidente Constitucional de la República de El Salvador 2014-2019</t>
  </si>
  <si>
    <t>Cuenta verificada del Gobernador de Puerto Rico y Presidente del Partido Nuevo Progresista. | Governor of Puerto Rico &amp; President of the NPP.</t>
  </si>
  <si>
    <t>Kancelaria Prezydenta RP</t>
  </si>
  <si>
    <t>Oficjalna strona Kancelarii Prezydenta RP Andrzeja Dudy</t>
  </si>
  <si>
    <t>https://www.facebook.com/Kancelaria-Prezydenta-RP-112191058856046/</t>
  </si>
  <si>
    <t>Karen.Karapetyan</t>
  </si>
  <si>
    <t>Karen Karapetyan</t>
  </si>
  <si>
    <t>http://www.gov.am</t>
  </si>
  <si>
    <t>https://www.facebook.com/Karen.Karapetyan/</t>
  </si>
  <si>
    <t>Կառավարական տուն 1, Հանրապետության Հրապարակ, 0010 Երևան</t>
  </si>
  <si>
    <t>The Ministry is responsible for coordinating Trinidad and Tobago's relations with foreign governments, as well as regional and international organizations.</t>
  </si>
  <si>
    <t>Soutpansberg Rd, 0001 Pretoria, South Africa</t>
  </si>
  <si>
    <t>Ulkoministeriön Facebook-sivu on avoin kaikille ulkoasiainhallinnon tehtäviin kuuluvista asioista kiinnostuneille. Keskustelu on tervetullutta, kunhan siinä noudatetaan Suomen lakeja ja hyviä tapoja.
Poistamme viestit, jotka kiihottavat kansanryhmää vastaan, esittävät asiattomia ja loukkaavia kommentteja muista keskustelijoista, ovat Suomen lakien tai hyvien tapojen vastaisia tai sisältävät mainoksia ja ilmoituksia.
Ulkoministeriö pidättää itsellään oikeuden poistaa asiattomat lausunnot ja linkitykset eikä vastaa ulkopuolisten keskusteluissa, seinäkirjoituksissa ja kommenteissa esittämistä väitteistä/mielipiteistä, linkityksen kohteista tai niiden aiheuttamista seurauksista.
Yksityisviesteihin vastataan vain virka-aikana.
---
Utrikesministeriets Facebooksida är öppen för alla som är intresserade av utrikesförvaltningen och dess uppgifter. Livliga debatter är välkomna, bara de följer Finlands lag och god sed.
Vi raderar inlägg som innehåller hets mot folkgrupp, osakligheter eller kommentarer som sårar andra skribenter, inlägg som strider mot Finlands lagar och god sed, samt inlägg som innehåller reklam.
Utrikesministeriet förbehåller sig rätten att radera osakliga uttalanden och länkar, och svarar inte för åsikter och påståenden i utomstående personers diskussioner, inlägg, kommentarer och länkar, inte heller för deras följder.  
Utrikesministeriets Facebooksida uppdateras inte regelbundet på svenska, men alla ministeriets egna nyheter och pressmeddelanden finns på svenska på webbplatsen http://formin.finland.fi/sv. Det är alltid välkommet att kommentera och ställa frågor på svenska!</t>
  </si>
  <si>
    <t>Our Hashtags:
#Cyberhawks
#Cyberhawks_bh
#Tawasul
#eGovernment
#Sijilat
#Open_data</t>
  </si>
  <si>
    <t>http://www.mfa.go.th/main/th/home</t>
  </si>
  <si>
    <t>02-643-5000</t>
  </si>
  <si>
    <t>เขตราชเทวี, Bangkok, Thailand 10400</t>
  </si>
  <si>
    <t>http://www.esteri.it/mae/it/</t>
  </si>
  <si>
    <t>(66-2) 618-2323 ext. 1007, 1700</t>
  </si>
  <si>
    <t>TC Dışişleri Bakanı, Antalya Milletvekili – Minister of Foreign Affairs of Republic of Turkey, MP for Antalya</t>
  </si>
  <si>
    <t>http://www.elfuturoesahora.com</t>
  </si>
  <si>
    <t>Nació en el seno de una familia de clase media radicada en el oriente ecuatoriano un 19 de marzo de 1953 en Nuevo Rocafuerte, provincia de Orellana.
Casado desde hace más de 20 años con Rocío González, con quien procreó tres hijas Irina, Cristina y Carina. Es Licenciado en Administración Pública por la Universidad Central del Ecuador.
Tras un asalto con un disparo a quemarropa, perdió la movilidad de sus piernas. Después de una larga y dolorosa recuperación decidió “volver a vivir” y se transformó en un motivador profesional a través de conferencias que llevan un mensaje de alegría, solidaridad y amor.
Creó la fundación “Eventa” para promover el humor y la alegría como estilo de vida basado en su testimonio personal. Lenín Moreno sostiene que el humor es la mejor medicina para las enfermedades físicas y emocionales.
Es autor de cerca de 10 libros sobre su teoría del humor; entre ellos: “Filosofía para la vida y el trabajo”, “Teoría y Práctica del Humor”, “Ser Feliz es Fácil y Divertido”, “Los Mejores Chistes del Mundo”, “Humor de los Famosos”, “Trompabulario”, “Ríase, no sea enfermo” y “Cuentos no Ecológicos”.
La comunidad internacional lo reconoce como un gran promotor y defensor de los derechos de las personas con discapacidad, por medio del accionar místico de sus grandes cruzadas solidarias: la Misión Solidaria "Manuela Espejo" y el Programa "Joaquín Gallegos Lara".
En 2010 promovió, por primera vez en la historia, la cumbre de Vicepresidentes del continente “América sin Barreras - Por la Democracia y la Solidaridad”, que culminó con la suscripción de la Declaración de Quito que garantiza el fortalecimiento de las políticas y programas nacionales y regionales para la atención, rehabilitación y prevención de las discapacidades.
De manera inmediata Lenín Moreno inició su recorrido por América Latina. Colombia, Perú, Chile, Uruguay, El Salvador, Guatemala, Paraguay recibieron de manos del Vicepresidente ecuatoriano la respectiva explicación y capacitación para iniciar la réplica del modelo ecuatoriano.
En la actualidad se desempeña como Enviado Especial del Secretario General de Naciones Unidas en Discapacidad y Accesibilidad</t>
  </si>
  <si>
    <t>https://www.facebook.com/LeninMorenoEC/</t>
  </si>
  <si>
    <t>http://es.wikipedia.org/wiki/Len%C3%ADn_Moreno</t>
  </si>
  <si>
    <t>+1-868-624-1261/624-1264</t>
  </si>
  <si>
    <t>Osobná stránka ministra zahraničných vecí a európskych záležitostí SR Miroslava Lajčáka. Oficiálne stanoviská v rámci pracovného programu ministra sú zverejnené na stránke www.mzv.sk</t>
  </si>
  <si>
    <t xml:space="preserve">Правила комментирования на странице "Служба центральных коммуникаций"
Мы всегда рады новым друзьям, их сообщениям и комментариям, при условии соблюдения простых правил.
Комментируя посты на нашей странице, вы по умолчанию соглашаетесь с данными Правилами и установленными порядками, указанными ниже. Обращаем внимание, что страница является постмодерируемой (во избежание спама, флуда и троллинга). Приветствуется уважительное и корректное общение, конструктивные комментарии и вопросы, размещение дополнительной информации.
Общие правила
•	Запрещается публиковать сообщения, нарушающие действующее законодательство РК.
•	Запрещается размещать сообщения, содержащие ненормативную лексику, оскорбления (как в прямой, так и в завуалированной форме), заведомо ложную информацию. Просим придерживаться норм морали и этикета.
•	Запрещается размещать сообщения, не соответствующие тематике страницы либо теме поста, опубликованного администрацией страницы Служба центральных коммуникаций. 
•	Запрещается размещать любую информацию рекламного характера.
•	Запрещается обсуждать в комменатриях действия Администрации страницы. Все предложения, жалобы и вопросы к Администрации просьба оставлять в личных сообщениях.
•	Мы призываем пользователей с уважением относиться друг к другу и соблюдать общие правила социальной сети Facebook, с которыми можно ознакомиться по ссылке: https://www.facebook.com/ legal/terms. В случае возникновения вопросов, требующих консультации специалистов, вы можете обратиться по адресу: sck.astana@gmail.com
Администрация оставляет за собой право:
1.	Удалять без объяснения причин комментарии, ссылки, посты и прочую информацию, размещенную на странице. Удаленная информация восстановлению не подлежит.
2.	Без предупреждения блокировать доступ пользователя к странице, если он нарушил вышеуказанные правила дважды, или если его поведение расценено Администрацией как неэтичное и нарушающее нормы общения.
3.	Вносить правки и дополнения в Правила в любое время без уведомления. Пожалуйста, периодически просматривайте данную страницу на предмет нововведений.
Администрация не несет ответственности за достоверность размещенной пользователями информации, источником которой не являются официальные сайты СЦК. Администрация также не несет ответственности за поведение пользователей и не обязательно разделяет их мнение.
Просим быть вежливыми и доброжелательными друг к другу. Приятного общения!
</t>
  </si>
  <si>
    <t>Quelelé, 224 Conakry, Guinea</t>
  </si>
  <si>
    <t>Minister of Foreign Affairs and Member of Parliament for University-Rosedale / Ministre des Affaires étrangères et députée pour University-Rosedale</t>
  </si>
  <si>
    <t xml:space="preserve">Bienvenue sur la page officielle de Aurélien A. Agbénonci </t>
  </si>
  <si>
    <t xml:space="preserve">+994 (12) 596 90 00     </t>
  </si>
  <si>
    <t>http://mae.gouv.ht</t>
  </si>
  <si>
    <t>conservatives.com</t>
  </si>
  <si>
    <t xml:space="preserve">Olen pääministeri, puolueen puheenjohtaja ja diplomi-insinööri Kempeleestä.
</t>
  </si>
  <si>
    <t>https://facebook.com/saadhariri</t>
  </si>
  <si>
    <t>Foreign Minister Abdelkader Messahel</t>
  </si>
  <si>
    <t>https://facebook.com/AdelkaderMessahel2016</t>
  </si>
  <si>
    <t>Abdelkader Messahel</t>
  </si>
  <si>
    <t>Foreign Minister Jorge Faurie</t>
  </si>
  <si>
    <t>https://facebook.com/JorgeFaurie</t>
  </si>
  <si>
    <t>JorgeFaurie</t>
  </si>
  <si>
    <t>Jorge Faurie</t>
  </si>
  <si>
    <t>Prime Minister Paul Kaba Thieba</t>
  </si>
  <si>
    <t>https://facebook.com/Paulkaba.2016</t>
  </si>
  <si>
    <t>https://facebook.com/burkina.diplomatie</t>
  </si>
  <si>
    <t>Prime Minister Amadou Gon Coulibaly</t>
  </si>
  <si>
    <t>https://facebook.com/Amadou-GON-Coulibaly-776372942486246</t>
  </si>
  <si>
    <t>Prime Minister Abdoulkader Kamil</t>
  </si>
  <si>
    <t>https://facebook.com/Abdoulkader-Kamil-Mohamed-1018182241561855</t>
  </si>
  <si>
    <t>Foreign Minister Pelonomi Venson-Moitoi</t>
  </si>
  <si>
    <t>https://facebook.com/vensonBDP</t>
  </si>
  <si>
    <t>Prime Minister Mamady Youla</t>
  </si>
  <si>
    <t>Mamady Youla</t>
  </si>
  <si>
    <t>https://facebook.com/YoulaPremierministre</t>
  </si>
  <si>
    <t>Prime Minister Umaro Sissoco Embalo</t>
  </si>
  <si>
    <t>https://facebook.com/galumse</t>
  </si>
  <si>
    <t>https://facebook.com/Somalia</t>
  </si>
  <si>
    <t>https://facebook.com/benindiplomatie</t>
  </si>
  <si>
    <t>https://facebook.com/gouvbenin</t>
  </si>
  <si>
    <t>https://facebook.com/TongaGovtPortal</t>
  </si>
  <si>
    <t>Foreign Minister Teodor Meleșcanu</t>
  </si>
  <si>
    <t>https://facebook.com/TVMelescanu</t>
  </si>
  <si>
    <t>Teodor Melescanu</t>
  </si>
  <si>
    <t>President Ilir Meta</t>
  </si>
  <si>
    <t>https://facebook.com/Ilir-Meta-1477517792294489</t>
  </si>
  <si>
    <t>Prime Minister Hubert Minnis</t>
  </si>
  <si>
    <t>https://facebook.com/opmgbi</t>
  </si>
  <si>
    <t>President Emmanuel Macron</t>
  </si>
  <si>
    <t>https://facebook.com/EmmanuelMacron</t>
  </si>
  <si>
    <t>EmmanuelMacron</t>
  </si>
  <si>
    <t>Emmanuel Macron</t>
  </si>
  <si>
    <t>Président de la République française.</t>
  </si>
  <si>
    <t>Prime Minister Edouard Philippe</t>
  </si>
  <si>
    <t>https://facebook.com/EdouardPhilippePM</t>
  </si>
  <si>
    <t>Foreign Minister Jean-Yves Le Drian</t>
  </si>
  <si>
    <t>https://facebook.com/jyledrian</t>
  </si>
  <si>
    <t>Jean-Yves Le Drian</t>
  </si>
  <si>
    <t>Prime Minister Lee Nak-yeon</t>
  </si>
  <si>
    <t>이낙연</t>
  </si>
  <si>
    <t>President Moon Jae-in</t>
  </si>
  <si>
    <t>https://facebook.com/moonbyun1</t>
  </si>
  <si>
    <t>문재인</t>
  </si>
  <si>
    <t>Prime Minister Leo Varadkar</t>
  </si>
  <si>
    <t>https://facebook.com/campaignforleo</t>
  </si>
  <si>
    <t>campaignforleo</t>
  </si>
  <si>
    <t>Foreign Minister Simon Coveney</t>
  </si>
  <si>
    <t>Simon Coveney</t>
  </si>
  <si>
    <t>https://facebook.com/segreteriaaffariesteriSM</t>
  </si>
  <si>
    <t>Carmelo Abela</t>
  </si>
  <si>
    <t>Foreign Minister Carmelo Abela</t>
  </si>
  <si>
    <t>https://facebook.com/abelacarmelo</t>
  </si>
  <si>
    <t>Foreign Minister Alan Peter Cayetano</t>
  </si>
  <si>
    <t>https://facebook.com/alanpetercayetano</t>
  </si>
  <si>
    <t>alanpetercayetano</t>
  </si>
  <si>
    <t>Alan Peter Cayetano</t>
  </si>
  <si>
    <t>President Khaltmaagiin Battulga</t>
  </si>
  <si>
    <t>https://facebook.com/KhaltmaaBattulga</t>
  </si>
  <si>
    <t>Battulga Khaltmaa</t>
  </si>
  <si>
    <t>NDimitrovMK</t>
  </si>
  <si>
    <t>https://facebook.com/zaevzoran</t>
  </si>
  <si>
    <t>Foreign Minister Nikola Dimitrov</t>
  </si>
  <si>
    <t>Prime Minister Zoran Zaev</t>
  </si>
  <si>
    <t>https://facebook.com/NDimitrovMK</t>
  </si>
  <si>
    <t>https://facebook.com/MFAMacedonia</t>
  </si>
  <si>
    <t>President Mahmoud Abbas</t>
  </si>
  <si>
    <t>https://facebook.com/President.Mahmoud.Abbas</t>
  </si>
  <si>
    <t>pmharriskn</t>
  </si>
  <si>
    <t>Prime Minister Timothy Harris</t>
  </si>
  <si>
    <t>https://facebook.com/pmharriskn</t>
  </si>
  <si>
    <t>Ravi Karunanayake</t>
  </si>
  <si>
    <t>Foreign Minister Ravi Karunanayake</t>
  </si>
  <si>
    <t>https://facebook.com/mfa.gov.lk</t>
  </si>
  <si>
    <t>Darren A. Henfield</t>
  </si>
  <si>
    <t>Foreign Minister Darren Allan Henfield</t>
  </si>
  <si>
    <t>https://facebook.com/DarrenAHenfieldFNM</t>
  </si>
  <si>
    <t>https://facebook.com/mfaguyana</t>
  </si>
  <si>
    <t>mfaguyana</t>
  </si>
  <si>
    <t>Foreign Minister Luis Rivera Marín</t>
  </si>
  <si>
    <t>https://facebook.com/LuisGRiveraMarin</t>
  </si>
  <si>
    <t>President Adama Barrow</t>
  </si>
  <si>
    <t>Foreign Minister Mohammed Shahriar Alam</t>
  </si>
  <si>
    <t>https://facebook.com/KantorStafPresidenRI</t>
  </si>
  <si>
    <t>pjugnauth</t>
  </si>
  <si>
    <t>Pravind Jugnauth</t>
  </si>
  <si>
    <t>https://facebook.com/pjugnauth</t>
  </si>
  <si>
    <t>President Shavkat Mirziyoyev</t>
  </si>
  <si>
    <t>https://facebook.com/Mirziyoyev</t>
  </si>
  <si>
    <t>https://facebook.com/lerendezvousmada</t>
  </si>
  <si>
    <t>https://facebook.com/TheBlueHouseKR</t>
  </si>
  <si>
    <t>TheBlueHouseKR</t>
  </si>
  <si>
    <t>https://facebook.com/KoreaClickers</t>
  </si>
  <si>
    <t>https://twitter.com/Somalia</t>
  </si>
  <si>
    <t>Alassane Ouattara</t>
  </si>
  <si>
    <t>정부24</t>
  </si>
  <si>
    <t>21nylee</t>
  </si>
  <si>
    <t>abelacarmelo</t>
  </si>
  <si>
    <t>http://www.facebook.com/1409371249362597</t>
  </si>
  <si>
    <t>AdelkaderMessahel2016</t>
  </si>
  <si>
    <t>http://www.facebook.com/937713852999546</t>
  </si>
  <si>
    <t>http://www.facebook.com/368498793242908</t>
  </si>
  <si>
    <t>Ministère Des Affaires Etrangères et de la Coopération/Bénin</t>
  </si>
  <si>
    <t>benindiplomatie</t>
  </si>
  <si>
    <t>http://www.facebook.com/385479405148425</t>
  </si>
  <si>
    <t>burkina.diplomatie</t>
  </si>
  <si>
    <t>http://www.facebook.com/1431860663806114</t>
  </si>
  <si>
    <t>Leo Varadkar T.D.</t>
  </si>
  <si>
    <t>http://www.facebook.com/178974912140818</t>
  </si>
  <si>
    <t>DarrenAHenfieldFNM</t>
  </si>
  <si>
    <t>http://www.facebook.com/1827285890846263</t>
  </si>
  <si>
    <t>Det danske kongehus</t>
  </si>
  <si>
    <t>detdanskekongehus</t>
  </si>
  <si>
    <t>http://www.facebook.com/236903853314870</t>
  </si>
  <si>
    <t>Édouard Philippe</t>
  </si>
  <si>
    <t>EdouardPhilippePM</t>
  </si>
  <si>
    <t>http://www.facebook.com/2109784355914899</t>
  </si>
  <si>
    <t>Eis Presidente da Republica de Timor Leste</t>
  </si>
  <si>
    <t>EisPresidentiRDTL</t>
  </si>
  <si>
    <t>http://www.facebook.com/1535230416709539</t>
  </si>
  <si>
    <t>Général Umaro El Mokhtar Sissoco Embalo</t>
  </si>
  <si>
    <t>galumse</t>
  </si>
  <si>
    <t>http://www.facebook.com/1992340321000432</t>
  </si>
  <si>
    <t>Gouvernement du Bénin</t>
  </si>
  <si>
    <t>http://www.facebook.com/1820941241473650</t>
  </si>
  <si>
    <t>IdrissDebyItn</t>
  </si>
  <si>
    <t>http://www.facebook.com/1439930922734351</t>
  </si>
  <si>
    <t>jyledrian</t>
  </si>
  <si>
    <t>http://www.facebook.com/939521139445638</t>
  </si>
  <si>
    <t>http://www.facebook.com/128108877258453</t>
  </si>
  <si>
    <t>KhaltmaaBattulga</t>
  </si>
  <si>
    <t>http://www.facebook.com/551203304961503</t>
  </si>
  <si>
    <t>Korea Clickers</t>
  </si>
  <si>
    <t>KoreaClickers</t>
  </si>
  <si>
    <t>http://www.facebook.com/181274814520</t>
  </si>
  <si>
    <t>Le Rendez-Vous #Fotoambita</t>
  </si>
  <si>
    <t>lerendezvousmada</t>
  </si>
  <si>
    <t>http://www.facebook.com/1327823103953007</t>
  </si>
  <si>
    <t>Luis G. Rivera Marín</t>
  </si>
  <si>
    <t>LuisGRiveraMarin</t>
  </si>
  <si>
    <t>http://www.facebook.com/302919759865959</t>
  </si>
  <si>
    <t>mfa.gov.lk</t>
  </si>
  <si>
    <t>Ministry of Foreign Affairs Guyana</t>
  </si>
  <si>
    <t>http://www.facebook.com/1856515051283835</t>
  </si>
  <si>
    <t>Ministry of Foreign Affairs of the Republic of Macedonia</t>
  </si>
  <si>
    <t>MFAMacedonia</t>
  </si>
  <si>
    <t>http://www.facebook.com/249118824849</t>
  </si>
  <si>
    <t>mfcatt</t>
  </si>
  <si>
    <t>Шавкат Мирзиёев - Shavkat Mirziyoyev</t>
  </si>
  <si>
    <t>Mirziyoyev</t>
  </si>
  <si>
    <t>http://www.facebook.com/676751812488943</t>
  </si>
  <si>
    <t>moonbyun1</t>
  </si>
  <si>
    <t>http://www.facebook.com/181808448592182</t>
  </si>
  <si>
    <t>Никола Димитров - Nikola Dimitrov</t>
  </si>
  <si>
    <t>http://www.facebook.com/1613812852165461</t>
  </si>
  <si>
    <t>Presidente Filipe Nyusi</t>
  </si>
  <si>
    <t>Office of The Prime Minister- Grand Bahama</t>
  </si>
  <si>
    <t>opmgbi</t>
  </si>
  <si>
    <t>http://www.facebook.com/434533173589048</t>
  </si>
  <si>
    <t>PalauPresident</t>
  </si>
  <si>
    <t>Paul Kaba THIEBA - PKT</t>
  </si>
  <si>
    <t>Paulkaba.2016</t>
  </si>
  <si>
    <t>http://www.facebook.com/1733492463558808</t>
  </si>
  <si>
    <t>http://www.facebook.com/1303533473022789</t>
  </si>
  <si>
    <t>Dr. The Honourable Timothy Harris</t>
  </si>
  <si>
    <t>http://www.facebook.com/247959278915319</t>
  </si>
  <si>
    <t>President.Mahmoud.Abbas</t>
  </si>
  <si>
    <t>http://www.facebook.com/117918018266176</t>
  </si>
  <si>
    <t>Segreteria di Stato Affari Esteri e Giustizia</t>
  </si>
  <si>
    <t>segreteriaaffariesteriSM</t>
  </si>
  <si>
    <t>http://www.facebook.com/929456743767192</t>
  </si>
  <si>
    <t>Md Shahriar Alam MP</t>
  </si>
  <si>
    <t>ShahriarAlamMp</t>
  </si>
  <si>
    <t>http://www.facebook.com/227184710807057</t>
  </si>
  <si>
    <t>Somalia الصومال</t>
  </si>
  <si>
    <t>http://www.facebook.com/1670674459906922</t>
  </si>
  <si>
    <t>http://www.facebook.com/1893228080965423</t>
  </si>
  <si>
    <t>Tonga Gov Portal</t>
  </si>
  <si>
    <t>TongaGovtPortal</t>
  </si>
  <si>
    <t>http://www.facebook.com/579252962274907</t>
  </si>
  <si>
    <t>TVMelescanu</t>
  </si>
  <si>
    <t>http://www.facebook.com/100124197114101</t>
  </si>
  <si>
    <t>Pelonomi Venson - AU Commision Chair Candidate</t>
  </si>
  <si>
    <t>vensonBDP</t>
  </si>
  <si>
    <t>http://www.facebook.com/375294415896762</t>
  </si>
  <si>
    <t>YoulaPremierministre</t>
  </si>
  <si>
    <t>http://www.facebook.com/560871457404173</t>
  </si>
  <si>
    <t>Zoran Zaev</t>
  </si>
  <si>
    <t>zaevzoran</t>
  </si>
  <si>
    <t>http://www.facebook.com/66035312931</t>
  </si>
  <si>
    <t>Abdoulkader Kamil Mohamed</t>
  </si>
  <si>
    <t>http://www.facebook.com/1018182241561855</t>
  </si>
  <si>
    <t>Amadou GON Coulibaly</t>
  </si>
  <si>
    <t>http://www.facebook.com/776372942486246</t>
  </si>
  <si>
    <t>Honourable Mark Brantley</t>
  </si>
  <si>
    <t>http://www.facebook.com/107371062633538</t>
  </si>
  <si>
    <t>Ilir Meta</t>
  </si>
  <si>
    <t>http://www.facebook.com/1477517792294489</t>
  </si>
  <si>
    <t>http://www.facebook.com/112191058856046</t>
  </si>
  <si>
    <t>Owned Post Views</t>
  </si>
  <si>
    <t>Owned Views from Shares</t>
  </si>
  <si>
    <t>Owned Total Views</t>
  </si>
  <si>
    <t>Percentage Views from Owned Posts</t>
  </si>
  <si>
    <t>Views on Shared Posts</t>
  </si>
  <si>
    <t>Views While Live</t>
  </si>
  <si>
    <t>Loves</t>
  </si>
  <si>
    <t>Wows</t>
  </si>
  <si>
    <t>Hahas</t>
  </si>
  <si>
    <t>Sads</t>
  </si>
  <si>
    <t>Angrys</t>
  </si>
  <si>
    <t>Owned Video Posts</t>
  </si>
  <si>
    <t>Shared Video Posts</t>
  </si>
  <si>
    <t>https://facebook.com/FEGnassingbe</t>
  </si>
  <si>
    <t>https://facebook.com/mfcatt</t>
  </si>
  <si>
    <t>https://facebook.com/CharlesMichel</t>
  </si>
  <si>
    <t>https://facebook.com/PalauPresident</t>
  </si>
  <si>
    <t>https://facebook.com/RwandaMFA</t>
  </si>
  <si>
    <t>https://facebook.com/IdrissDebyItn</t>
  </si>
  <si>
    <t>https://facebook.com/ShahriarAlamMp</t>
  </si>
  <si>
    <t>https://facebook.com/EisPresidentiRDTL</t>
  </si>
  <si>
    <t>https://facebook.com/21nylee</t>
  </si>
  <si>
    <t>https://facebook.com/detdanskekongehus</t>
  </si>
  <si>
    <t>Macedonia</t>
  </si>
  <si>
    <t>input</t>
  </si>
  <si>
    <t>%D8%B3%D8%A7%D9%85%D8%AD-%D8%B4%D9%83%D8%B1%D9%8A-1479684935601755</t>
  </si>
  <si>
    <t>국무총리 이낙연입니다.</t>
  </si>
  <si>
    <t>https://www.facebook.com/21nylee/</t>
  </si>
  <si>
    <t>Abdoulkader-Kamil-Mohamed-1018182241561855</t>
  </si>
  <si>
    <t>http://abdoulkader-kamil-mohamed.com/</t>
  </si>
  <si>
    <t>Page officielle de Monsieur Abdoulkader Kamil Mohamed, Premier Ministre de Djibouti.</t>
  </si>
  <si>
    <t>https://www.facebook.com/Abdoulkader-Kamil-Mohamed-1018182241561855/</t>
  </si>
  <si>
    <t>carmeloabela.org</t>
  </si>
  <si>
    <t xml:space="preserve">Paġna bil-għan li twassal informazzjoni fuq il-ħidma tal-Ministru Carmelo Abela
Immexxija mit-tim ta' Carmelo Abela. </t>
  </si>
  <si>
    <t>https://www.facebook.com/abelacarmelo/</t>
  </si>
  <si>
    <t>Din il-paġna twassal informazzjoni dwar il-ħidma mwettqa mill-Ministru għall-Affarijiet Barranin u l-Promozzjoni tal-Kummerċ, Carmelo Abela.
Din il-paġna hija mmexxijja mit-tim ta' Carmelo Abela. Messaġġi miktuba mill-Ministru Abela nnifsu jkunu identifikabbli bl-ittri CA.</t>
  </si>
  <si>
    <t>Ministeru għall-Affarijiet Barranin u l-Promozzjoni tal-Kummerċ, Palazzo Parisio, Triq il-Merkanti, VLT 1171 Valletta, Malta</t>
  </si>
  <si>
    <t>http://www.mae.gov.dz</t>
  </si>
  <si>
    <t xml:space="preserve">suivez les activités de Monsieur le Ministre des Affaires maghrébines, de l'Union africaine et de la Ligue des Etats arabes. </t>
  </si>
  <si>
    <t xml:space="preserve">Nom : MESSAHEL
Prénom : Abdelkader
Date de naissance : 11-07-1949
Lieu de naissance : Tlemcen
Expérience professionnelle :
Journalisme
Carrière diplomatique consacrée à l'Afrique
Sous-directeur «OUA et Organisations Sous-régionales»
Directeur «Afrique».
Fonctions politiques, parlementaires et ministérielles :
1971: Chef de la section «Mouvements de libération». au Ministère des Affaires étrangères.
1986-1988 et 1996-1997 : Directeur général «Afrique».
Ambassadeur d'Algérie au Burkina-Faso.
Ambassadeur conseiller auprès du Ministre des Affaires étrangères, chargé des questions africaines.
Chargé des questions africaines au sein de la mission permanente de l'Algérie auprès des Nations-unies à New-York.
Délégué à de nombreuses sessions de l'Assemblée générale des Nations unies, Conférences des Chefs d'Etat et de Gouvernement de l'Organisation de l'unité africaine et de nombreux conseils des ministres de l'OUA.
Ambassadeur d'Algérie auprès du Royaume des Pays-bas.
1999-2000 : Envoyé spécial du Président de la République chargé du suivi du processus de paix en République démocratique du Congo et dans la Région des Grands lacs, durant la présidence algérienne de l'O.U.A.
2000: Ministre délégué auprès du Ministre d'État, ministre des Affaires étrangères, Chargé des affaires africaines
2012: Ministre délégué auprès Ministre des Affaires étrangères, chargé des Affaires maghrébines et africaines
2013 : ministre de la Communication
2014-2015 :Ministre délégué auprès Ministre des Affaires étrangères, chargé des Affaires maghrébines et africaines.
actuellement: Ministre des Affaires maghrébines, de l'Union africaine et de la Ligue des Etats arabes
</t>
  </si>
  <si>
    <t>https://www.facebook.com/AdelkaderMessahel2016/</t>
  </si>
  <si>
    <t>Foreign Affairs Secretary. Christian. Loving husband. Lawyer. 25 years Experience.  Fighting to end the disorder, corruption and poverty that plague the country.</t>
  </si>
  <si>
    <t>Born on October 28, 1970 to Renato Cayetano and Sandra Schramm. He is the 2nd of the couples' four children and is married to Lani Lopez Cayetano. 
Finished his Pre-Law course at the University of the Philippines and got his Law Degree from the Ateneo School of Law.
Now serving his 2nd term as Senator of the Philippines and currently Majority Floor Leader. He was a three-time member of the House of Representatives representing the (then) lone district of Taguig and Pateros.</t>
  </si>
  <si>
    <t>https://www.facebook.com/alanpetercayetano/</t>
  </si>
  <si>
    <t>http://www.bundespraesident.at/</t>
  </si>
  <si>
    <t>Amadou-GON-Coulibaly-776372942486246</t>
  </si>
  <si>
    <t>https://www.facebook.com/Amadou-GON-Coulibaly-776372942486246/</t>
  </si>
  <si>
    <t>Political Candidate</t>
  </si>
  <si>
    <t>Amb-Dr-Amina-C-Mohammed-243558335851543</t>
  </si>
  <si>
    <t>الحساب الرسمي لموقع مکتب حفظ ونشر آثار الإمام السيد علي الخامنئي | Arabic.Khamenei.ir</t>
  </si>
  <si>
    <t>Bakir-Izetbegovi%C4%87-142839432423177</t>
  </si>
  <si>
    <t>http://www.diplomatie.gouv.bj/</t>
  </si>
  <si>
    <t xml:space="preserve">Bienvenue sur la page Facebook officielle du Ministère des Affaires Etrangères et de la Coopération du Bénin. 
Suivez ici les actions diplomatiques au service du développement.  
</t>
  </si>
  <si>
    <t>https://www.facebook.com/benindiplomatie/</t>
  </si>
  <si>
    <t xml:space="preserve">"Faire de la Diplomatie béninoise un véritable instrument de rayonnement et de mobilisation des ressources au service du développement." </t>
  </si>
  <si>
    <t>Secretary of State for Foreign &amp; Commonwealth Affairs and Member of Parliament for Uxbridge and South Ruislip</t>
  </si>
  <si>
    <t>Private Bag 001, 00267 Gaborone, Botswana</t>
  </si>
  <si>
    <t>http://www.diplomatie.gov.bf/</t>
  </si>
  <si>
    <t>Diplomatie, Coopération Internationale et Régionale</t>
  </si>
  <si>
    <t>https://www.facebook.com/burkina.diplomatie/</t>
  </si>
  <si>
    <t>www.campaignforleo.ie</t>
  </si>
  <si>
    <t>https://www.facebook.com/campaignforleo/</t>
  </si>
  <si>
    <t>01-6183819</t>
  </si>
  <si>
    <t>+373 22 250-101</t>
  </si>
  <si>
    <t>Avenida 7-9, Calle 11-13 San José, 10027-1000 San José, Costa Rica</t>
  </si>
  <si>
    <t>Carlos-Agostinho-do-Rosário-328165980711185</t>
  </si>
  <si>
    <t>https://www.facebook.com/CharlesMichel/</t>
  </si>
  <si>
    <t>statehouse.gov.sc</t>
  </si>
  <si>
    <t>http://twitter.com/DarrenFNM</t>
  </si>
  <si>
    <t>"It's The People's Time!"</t>
  </si>
  <si>
    <t xml:space="preserve">Darren Allan Henfield FNM Candidate North Abaco
Darren Allan Henfield is the eldest son of Bishop Clifford Henfield and Mother Evelyn Henfield (recently deceased) of Dundas Town Abaco. 
A graduate of Abaco Central High School (1979), he enlisted in the Royal Bahamas Defence Force (RBDF) in 1981, as a marine recruit. He worked his way to the rate  of petty officer before being selected to undergo the Special Duties Officers’ Course at Britannia Royal Naval College, Dartmouth, England, upon completion of which he was commissioned a sub-lieutenant. During his near 36-year career in the military, he served in many billets and appointments at sea and ashore. The highlight of his career was a six-month (peacekeeping) tour of duty in the Republic of Haiti during 1995, as a member of the CARICOM Battalion under the aegis of United Nations mission to that country.   
Henfield received a bachelor’s degree in law from the University of the West Indies—College of The Bahamas Campus—in 2009 and was called to The Bahamas Bar as a council and attorney in 2011. He then served three years as a junior council in the Office of the Attorney-General. In 2015, he was selected to attend the Naval Postgraduate School(NPS), Monterey, California, where he received a master’s degree in security studies (Combatting Terrorism: Strategy and Planning). There, he was given the NPS International Student of the Year Award for consistent academic performance and community involvement.
Being fully aware that Almighty God controls the affairs of men, he is most humbled  for the privilege to have served the congregants of Calvary Deliverance Church, where he was appointed the Senior Associate Pastor in 2012. While there, he chaired the church’s Annual Convention Committee for more 12-years, and also served as chairman of the Building Fund Committee, which greatly assisted with the church’s ambitious refurbishment and renovations project during 2003.  
(Acting) Lieutenant Commander Henfield retired from the RBDF on 3 January 2017 in order to accept the FNM’s nomination as its standard bearer in North Abaco. By so doing, he seeks to continue service to his people and country at another level.
He and his wife of near thirty-two years, Deidre (nee Edgecombe) of Sandy Point, Abaco, are the thankful parents of three sons—Darren, Dasheiko and Dreyon—and one granddaughter--Dahlya. They enjoy the adventures of travelling and meeting people. </t>
  </si>
  <si>
    <t>https://www.facebook.com/DarrenAHenfieldFNM/</t>
  </si>
  <si>
    <t>Free National Movement Party</t>
  </si>
  <si>
    <t>Public &amp; Government Service</t>
  </si>
  <si>
    <t>El Departamento de Estado fue creado mediante la Sección 6 del Artículo IV de la Constitución del 25 de julio de 1952. Dicha sección dispone que el Gobernador contará con el apoyo de Secretarios de Gobierno, entre éstos, un Secretario de Estado, que nombrará con el consejo y consentimiento del Senado y de la Cámara de Representantes. Asimismo, se establece que el Secretario de Estado es el sucesor constitucional del primer Ejecutivo en ausencia de éste.
Siendo una de las instrumentalidades gubernamentales más importantes, el Departamento de Estado tiene la responsabilidad de fomentar las relaciones culturales, políticas y económicas entre Puerto Rico y países extranjeros al igual que con otras jurisdicciones de los Estados Unidos de América. Además, realiza diversas funciones de carácter administrativo como lo son:
Promulgar, publicar, certificar y vender las leyes y reglamentos del Gobierno de Puerto Rico;
Reglamentar el uso de la bandera y el escudo de Puerto Rico;
Expedir licencias para el ejercicio de profesiones u oficios reglamentado por el Estado a través de las Juntas Examinadoras;
Preparar y custodiar diversos registros: cónsules; corporaciones y sociedades; marcas de fábrica; notarios y propiedad intelectual entre otros.
Tramitar la solicitud de pasaportes de los ciudadanos de los Estados Unidos, tarea delegada por el Gobierno Federal;
Coordinar los asuntos de índole protocolar que competen al Gobierno;
Además, lleva un registro de los nombramientos gubernamentales hechos por el Primer Ejecutivo; promulga las proclamas emitidas por éste o por el Secretario de Estado y provee ayuda a personas que visitan la Isla con fines investigativos o educativos a través del negociado para Intercambio Cultural y Cooperación Técnica del Departamento.
En la actualidad, el Departamento de Estado ocupa dos estructuras catalogadas como puntos de interés histórico en el Viejo San Juan: la Real Intendencia y la Diputación Provincial.</t>
  </si>
  <si>
    <t>http://kongehuset.dk/</t>
  </si>
  <si>
    <t>https://www.facebook.com/detdanskekongehus/</t>
  </si>
  <si>
    <t xml:space="preserve">Velkommen til den officielle Facebookside for det danske kongehus. Kommentarer er velkomne, de skal dog være relevante i forhold til indholdet af vores opslag. 
På Kongehusets medieplatforme holdes en god tone og kommentarer, der ikke overholder dette eller indeholder skældsord, reklame eller virker stødende, vil blive slettet. 
Spørgsmål eller bemærkninger til indholdet på Kongehusets digitale platforme sendes til kom@kongehuset.dk.
Velkommen til! </t>
  </si>
  <si>
    <t>Det Gule Palæ, Amaliegade 18, 1256 København</t>
  </si>
  <si>
    <t>didier-reynders-66985740526</t>
  </si>
  <si>
    <t xml:space="preserve">Premier ministre de la République française. </t>
  </si>
  <si>
    <t>https://www.facebook.com/EdouardPhilippePM/</t>
  </si>
  <si>
    <t xml:space="preserve">+373 22 820 021 </t>
  </si>
  <si>
    <t>Puskin 42, MD-2012 Chisinau, Moldova</t>
  </si>
  <si>
    <t>http://www.plp.org.tl</t>
  </si>
  <si>
    <t>This is the official page of the former President of the Democratic Republic of Timor-Leste  2012-2017. .All Press releases, speeches and messages are published throughout this page.</t>
  </si>
  <si>
    <t>https://www.facebook.com/EisPresidentiRDTL/</t>
  </si>
  <si>
    <t>This is the official Page of the Former President of Timor-Leste - H.E. Taur Matan Ruak. All activities (formal, informal including political  association and its activities ) related to the Former President will be published throughout this page. 
Pagina ida ne'e reprezenta pagina Facebook ofisial ba Eis Presidenti Timor-Leste S.E. Taur Matan Ruak. Atividade hotu-hotu (formal, informal, inkluidu asosiasaun politiku no nia atividade) relasiona ho Eis Presidenti se publika liu husi pagina ida ne'e.</t>
  </si>
  <si>
    <t>Metiaut, Dili</t>
  </si>
  <si>
    <t>Le Président de la République française incarne l’autorité de l’État. Il est le chef de l'État en France, le chef des armées et le garant de la Constitution de la Ve République. Depuis le 14 mai 2017, le Président de la République est Emmanuel Macron.
Le Président est élu au suffrage universel direct depuis 1965 pour un mandat de 5 ans. Son rôle est d'assurer le fonctionnement normal des pouvoirs publics et la continuité de l’État. Il est également le garant de l’indépendance nationale, de l’intégrité du territoire et du respect des traités.
Le Palais de l'Élysée est la résidence officielle du chef de l’État.</t>
  </si>
  <si>
    <t>Depuis 1848, 25 Présidents de la République se sont succédés :
∙ Ve RÉPUBLIQUE :
Depuis le 14 mai 2017 : Emmanuel Macron
2012 - 2017 : François Hollande
2007 - 2012 : Nicolas Sarkozy
1995 - 2007 : Jacques Chirac
1981 - 1995 : François Mitterrand
1974 - 1981 : Valéry Giscard d'Estaing
02/04/1974 - 19/05/1974 : Alain Poher
1969 - 1974 : Georges Pompidou
28/4/1969 - 20/6/1969 : Alain Poher
1959 - 1969 : Charles De Gaulle
∙ IVe RÉPUBLIQUE :
1954 - 1959 : René Coty
1947 - 1954 : Vincent Auriol
∙ IIIe RÉPUBLIQUE :
1932 - 1940 : Albert Lebrun
1931 - 1932 :  Paul Doumer
1924 - 1931 : Gaston Doumergue
1920 - 1924 : Alexandre Millerand
18/2/1920 - 20/9/1920 : Paul Deschanel
1913 - 1920 : Raymond Poincaré
1906 - 1913 : Armand Fallieres
1899 - 1906 : Emile Loubet
1895 - 1899 : Felix Faure
1894 - 1895 : Jean Casimir-Perier
1887 - 1894 : Marie-François-Sadi Carnot
1879 - 1887 : Jule Grévy
1873 - 1879 : Patrice de Mac Mahon
1871 - 1873 : Adolphe Thiers
∙ IIe RÉPUBLIQUE :
1848 - 1851 : Louis-Napoléon Bonaparte</t>
  </si>
  <si>
    <t>Social Service</t>
  </si>
  <si>
    <t>https://www.facebook.com/EmmanuelMacron/</t>
  </si>
  <si>
    <t>Présidence de la République - www.elysee.fr</t>
  </si>
  <si>
    <t>The European Commission (EC) is the 'engine room'  of the EU. It is one of 3 main EU institutions; the other two are the European Parliament (EP) and the Council (of the European Union).
The Commission prepares legislation for adoption by the Council (representing the member countries) and the Parliament (representing the citizens).
It administers the budget and the policy programmes (Agriculture, Fisheries, Research etc.) in cooperation with authorities in the member countries. The EC also services the 28 EU Commissioners.
Visit http://www.europa.eu if you want to learn more about the EU, or call the free service number 00 800 6789 10 11 from anywhere in the EU, they speak all 24 official languages.
To contact the European Commission: https://ec.europa.eu/info/contact_en</t>
  </si>
  <si>
    <t>Federal-Government-Communication-Affairs-Office-of-Ethiopia-349142568566343</t>
  </si>
  <si>
    <t>http://republiquetogolaise.com</t>
  </si>
  <si>
    <t>https://www.facebook.com/FEGnassingbe/</t>
  </si>
  <si>
    <t>Bienvenue sur la page officielle du Président de la République Togolaise.
Cette page est la vôtre. Vous pouvez donc y laisser vos commentaires. Nous vous exhortons à y faire preuve de courtoisie, gage d'une prise en compte de vos messages et contributions.
Cette page est d'abord et avant tout un espace de dialogues et d'échanges, respectueuse de nos différences et des règles de politesse dû à son prochain.
Nous nous réservons ainsi le droit de modérer tous les commentaires offensants et outrageants.
Les commentaires et contenus, qui seront pris en compte, devront respecter les règles suivantes :
• Ils devront être exprimés poliment ;
• Ils devront se faire en Français (langue officielle nationale) clair et sans ambiguïté ;
• Il ne faudra pas les poster plusieurs fois si leur contenu est identique ;
• Ils ne devront comporter ni des annonces commerciales, ni des contributions contenant des coordonnées personnelles (certaines informations sensibles pouvant être envoyées inbox) ;
• Ils ne devront pas porter atteinte au respect de la vie privée d'autrui. Il est donc strictement interdit de publier le numéro de téléphone, l'adresse électronique ou toutes informations relative à la vie privée d'une personne ou de sa famille ;
• Ils ne devront pas enfreindre la loi en général et en particulier celle relative à l'information et la communication en République togolaise.
famille ;
• Ils ne devront pas transgresser les règles de bonnes mœurs.
Il vous est loisible d'exprimer vos désaccords et vous êtes priés de les argumenter en évitant le registre de l'invective ou les prises à partie de tiers. Vos commentaires ne devront pas prendre la forme d'une attaque groupée de type multipostage. 
Nous nous réserverons le droit de supprimer sans préavis l'ensemble des messages concernés par une éventuelle attaque groupée et par des manquements graves.
L'agenda du Président de La République qui vous lit autant que son calendrier l'y autorise, ne lui permet pas hélas de répondre à l'ensemble des messages envoyés sur la messagerie privée de cette page. Cependant il reste très attentif aux informations que vous lui fournissez, suggestions et contributions...
Les commentaires publiés par les «fans» de la page Facebook de la Présidence de la République Togolaise engagent uniquement leurs auteurs.
Les activités illégales et/ou immorales sous toutes leurs formes sont interdites sur cette page, et ce même si vous vous exprimez sous un pseudonyme. Par activités illégales et/ou immorales sous toutes leurs formes, nous entendons de façon non exhaustive :
• Le harcèlement
• La diffamation, l'injure, les propos obscènes et/ou violents
• Les propos racistes et/ou xénophobes
•L'intolérance 
• La violence, l'incitation à la violence ou à la haine
• Le prosélytisme religieux ainsi que les attaques à l'égard d'une religion
• La pornographie, la pédophilie, la pédérastie, le terrorisme, le négationnisme, et le révisionnisme.
•Toutes les formes d'extrémisme 
Il est également recommandé d’éviter d'entamer des discussions à caractère privé ou hors sujet (vos commentaires doivent avoir un rapport avec le sujet proposé) sur cette page ; 
La déclaration des droits et obligations de Facebook , s'applique à tous les utilisateurs de cette page.
Vu qu'il s'agit d'une page et non d'un profil, nous n'avons aucunement accès à vos propres informations Facebook. Elles resteront donc confidentielles.
Le Président de la République, SEM Faure Essozimna Gnassingbé a hâte de s'enrichir de vos contributions relatives à l'actualité nationale et/ou internationale et nous vous invitons à partager autour de vous les contenus publiés, conscients que nous sommes de la nécessité de vous informer au mieux.
L'équipe.</t>
  </si>
  <si>
    <t>Fernando-Zavala-Lombardi-153149818440394</t>
  </si>
  <si>
    <t>Promoting &amp; protecting British people, prosperity and influence</t>
  </si>
  <si>
    <t>Harambee Avenue · Nairobi, Kenya, Nairobi, Kenya, 00100</t>
  </si>
  <si>
    <t xml:space="preserve">Welcome to the French Ministry for Europe and Foreign Affairs. We implement the foreign policy of the French government. </t>
  </si>
  <si>
    <t>Page officielle du Ministère de l'Europe et des Affaires étrangères  http://www.diplomatie.gouv.fr - Check out our page in English: http://facebook.com/france.diplomacy</t>
  </si>
  <si>
    <t>Vous pourrez trouver sur cette page toutes les activités et informations du ministère de l'Europe et des Affaires étrangères : actualités de politique étrangère, conseils aux voyageurs, informations pratiques pour les Français à l'étranger, mais aussi des reportages photos et vidéo sur la diplomatie française de terrain !</t>
  </si>
  <si>
    <t xml:space="preserve">Cuenta oficial del Gabinete Social de la Presidencia de la República, organismo que define la política social del país con programas de Protección social y de reducción de la pobreza.  </t>
  </si>
  <si>
    <t>Http://www.general-embalo.com</t>
  </si>
  <si>
    <t>Homme d'État en République de Guinée Bissau</t>
  </si>
  <si>
    <t>Général Umaro Mokhtar Sissoco Embaló, né le 23 septembre 1972 à Bissau, est une personnalité politique de Guinée-Bissau, spécialisée dans les questions africaines et le Moyen-Orient. Il a été nommé Premier ministre le 18 novembre 2016 par le président bissau-guinéen José Mário Vaz.
Umaro Sissoco Embaló est titulaire d'une licence en relations internationales, obtenue à l'Institut supérieur des sciences sociales et politiques à l'université technique de Lisbonne, puis d'une maîtrise en sciences politiques à l'Institut d'étude internationale de Madrid en Espagne et d'un doctorat en relations internationales à l'université complutense de Madrid.
Il maîtrise plusieurs langues telles que le portugais, l'espagnol, le français et l'arabe.
Général de brigade, Umaro Sissoco Embaló est un spécialiste reconnu sur le plan international en ce qui concerne les aspects de défense et de coopération &amp; développement.
Il dispose d'une solide expérience politique au travers des responsabilités qu'il a pu avoir lors des différents gouvernements de Guinée-Bissau.
Il occupa différentes responsabilités dans les précédents gouvernements, jusqu'à devenir ministre d'État5,6. Ancien ministre des Affaires africaines, du Moyen-Orient et de la Coopération, Il fut le conseiller du président de transition Manuel Serifo Nhamadjo.</t>
  </si>
  <si>
    <t>https://www.facebook.com/galumse/</t>
  </si>
  <si>
    <t xml:space="preserve">Général Umaro Mokhtar Sissoco Embaló, né le 23 septembre 1972 à Bissau, est une personnalité politique de Guinée-Bissau, spécialisée dans les questions africaines et le Moyen-Orient. Il a été nommé Premier ministre le 18 novembre 2016 par le président bissau-guinéen José Mário Vaz.
Umaro Sissoco Embaló est titulaire d'une licence en relations internationales, obtenue à l'Institut supérieur des sciences sociales et politiques à l'université technique de Lisbonne, puis d'une maîtrise en sciences politiques à l'Institut d'étude internationale de Madrid en Espagne et d'un doctorat en relations internationales à l'université complutense de Madrid.
Il maîtrise plusieurs langues telles que le portugais, l'espagnol, le français et l'arabe.
Général de brigade, Umaro Sissoco Embaló est un spécialiste reconnu sur le plan international en ce qui concerne les aspects de défense et de coopération &amp; développement.
Il dispose d'une solide expérience politique au travers des responsabilités qu'il a pu avoir lors des différents gouvernements de Guinée-Bissau.
Il occupa différentes responsabilités dans les précédents gouvernements, jusqu'à devenir ministre d'État5,6. Ancien ministre des Affaires africaines, du Moyen-Orient et de la Coopération,  Il  fut le conseiller du président de transition Manuel Serifo Nhamadjo.
</t>
  </si>
  <si>
    <t>+1 246 535-1900</t>
  </si>
  <si>
    <t>Old Town Hall, Bridgetown, Barbados</t>
  </si>
  <si>
    <t>Entérate de nuestras iniciativas, beneficios, campañas, y de las actividades de la Presidenta y sus ministros. También recibe la información oficial ante emergencias. 
¿Quieres escribirnos? Deja tu mensaje en las publicaciones del fanpage o ingresa a→  http://gob.cl/escribenos. También nos puedes encontrar en Telegram https://t.me/gobiernodechile
Este es un canal de comunicación abierto, para todos los chilenos y chilenas que están interesados en debatir sobre el país, mantenerse informados y para que puedan dejar sus comentarios. 
¡Todas y todos están invitados! Nos gustan las conversaciones respetuosas, por lo que los comentarios con insultos, ofensas o ataque a una persona o grupo serán eliminados.</t>
  </si>
  <si>
    <t>GOSS-Government-of-Southern-Sudan-292935125286</t>
  </si>
  <si>
    <t>Nonprofit Organization</t>
  </si>
  <si>
    <t>www.gouv.bj</t>
  </si>
  <si>
    <t>https://www.facebook.com/gouvbenin/</t>
  </si>
  <si>
    <t>Bienvenue sur la page Facebook officielle du gouvernement de la République du Bénin.
Cette page renseigne sur les activités des ministères et de l'ensemble du gouvernement de la République du Bénin.
Ce gouvernement formé le 7 avril 2016 par Son Excellence Monsieur Patrice Talon, Chef du gouvernement, compte vingt et un (21) ministres à savoir:
1.	Ministre d’État, Secrétaire Général de la Présidence de la République : Pascal Irénée Koupaki
2.	Ministre d’État chargé du Plan et du Développement : Abdoulaye Bio-Tchané
3.	Garde des Sceaux, ministre de la Justice et de la Législation : Joseph Djogbenou
4.	Ministre des Affaires Étrangères et de la Coopération : Aurélien Agbenonci
5.	Ministre de l’Économie et des Finances : Romuald Wadagni
6.	Ministre de l’Intérieur et de la Sécurité publique : Sacca Lafia
7.	Ministre de l’Agriculture, de l’Élevage et de la Pêche : Delphin Oloronto Koudande
8.	Ministre de la Décentralisation et de la Gouvernance locale : Barnabé Dassigli
9.	Ministre du Travail, de la Fonction publique et des Affaires sociales : Adidjatou Mathys
10.	Ministre de la Santé : Alassane Seidou
11.	Ministre de l’Enseignement supérieur et de la Recherche scientifique : Marie-Odile Attanasso
12.	Ministre de l’Enseignement secondaire, technique et de la Formation professionnelle : Lucien Kokou
13.	Ministre de l’Enseignement maternel et Primaire : Karimou Salimane
14.	Ministre de l’Économie numérique et de la Communication : Rafiatou Monrou
15.	Ministre des Infrastructures et des Transports : Hervé Hehomey
16.	Ministre de l’Industrie, du Commerce et de l’Artisanat : Lazare Sehoueto
17.	Ministre de l’Énergie, de l’Eau et des Mines : Dona Jean-Claude Houssou
18.	Ministre du Cadre de vie et du Développement durable : José Didier Tonato
19.	Ministre du Tourisme et de la Culture : Ange N’Koue
20.	Ministre des Sports : Oswald Homeky
* Cette page Facebook est gérée par le Service de Communication Digitale au sein de la Direction de Communication de la Présidence du Bénin.
Contact : communicationdigitale@presidence.bj *</t>
  </si>
  <si>
    <t>Le portail officiel du Gouvernement de Côte d'Ivoire est un site destiné aux usagers d'Internet qui souhaitent avoir des informations officielles émanant directement du Gouvernement. Il s'agit des conseils des ministres, des communiqués, des accords et résolutions.</t>
  </si>
  <si>
    <t>Gouvernement-de-la-R%C3%A9publique-du-Burundi-1006449296051502</t>
  </si>
  <si>
    <t>Government-of-Kenya-280212665505125</t>
  </si>
  <si>
    <t>Governo-de-Portugal-548265471873786</t>
  </si>
  <si>
    <t>http://www.gov.kr</t>
  </si>
  <si>
    <t>정부24(www.gov.kr) 페이스북 서비스입니다.</t>
  </si>
  <si>
    <t>1588-2188</t>
  </si>
  <si>
    <t>Ne dorim ca acesta să fie locul în care să vă prezentăm cele mai importante decizii ale Guvernului României pentru a le discuta constructiv, împreună. 
Totodată, ne propunem ca acesta să fie un pas important în efortul constant de transparentizare a administratiei publice centrale. 
Din iunie 2017, Guvernul României este condus de către Prim-ministrul Mihai Tudose.</t>
  </si>
  <si>
    <t>Hilda-Heine-%C3%B1an-Aur-225121217531031</t>
  </si>
  <si>
    <t>Hon-Freundel-J-Stuart-QC-MP-161612180563912</t>
  </si>
  <si>
    <t>www.myccmparty.com
www.danielbrantley.com</t>
  </si>
  <si>
    <t>https://www.facebook.com/Honourable-Mark-Brantley-107371062633538/</t>
  </si>
  <si>
    <t>(869) 469 5259</t>
  </si>
  <si>
    <t>https://www.facebook.com/IdrissDebyItn/</t>
  </si>
  <si>
    <t>Ilir-Meta-1477517792294489</t>
  </si>
  <si>
    <t xml:space="preserve">Ilir Meta lindi më 24 Mars 1969, në Skrapar. 
U diplomua për Ekonomi Politike në Fakultetin Ekonomik të Universitetit të Tiranës, ku dhe përfundoi studimet pasuniversitare.
Aktiviteti politik:
Ilir Meta e filloi aktivitetin e tij politik në vitin 1990, si pjesëmarrës aktiv në lëvizjen studentore. Ai ishte një ndër themeluesit e Forumit të Rinisë Eurosocialiste të Shqipërisë (FRESSH). 
Gjatë viteve të anëtarësisë së tij në FRESSH, Ilir Meta ka mbajtur poste të larta drejtuese në vitet 1992-1995 si Nënkryetar dhe në vitet 1995-2001 si Kryetar i këtij forumi.
Aktiviteti politik i Ilir Meta në strukturat e Partisë Socialiste ka qenë intensiv. 
Ai u zgjodh anëtar i Komitetit të Përgjithshëm Drejtues në Kongresin e Qershorit të vitit 1992 dhe anëtar i Kryesisë së Partisë Socialiste nga viti 1993, deri në korrik të vitit 2003, kur ai dha dorëheqjen.
Në vitet 1993-1996, Ilir Meta ka mbajtur postin e Nënkryetarit të Partisë Socialiste dhe atë të Sekretarit për Marrëdhëniet Ndërkombëtare, nga viti 1994 deri në 1996. 
Gjatë kësaj kohe Partia Socialiste në saje të kontributit të Ilir Meta vendosi marrëdhënie me shumë parti socialiste, parti të majta dhe socialdemokrate të Europës, si dhe Partinë Socialiste Europiane dhe Internacionalen Socialiste. 
Gjatë periudhës 1997-1998, Ilir Meta u zgjodh Kryetar i Partisë Socialiste të Tiranës.
Ilir Meta, më 6 shtator 2004, themeloi një forcë të re politike në Shqipëri, Lëvizjen Socialiste për Integrim (LSI).
Ilir Meta u zgjodh në krye të LSI në prill të vitit 2005, duke respektuar dhe zbatuar për herë të parë parimin “Një anëtar, një votë”. 
Ilir Meta është rikonfirmuar në krye të LSI, në zgjedhjet e tetorit 2012 dhe në ato të fundit, më 6 nëntor 2016.
Ai ka qenë Sekretar Shteti për Integrimin Europian në Ministrinë e Punëve të Jashtme në mars-tetor 1998 dhe më pas Z/Kryeministër dhe Ministër i Koordinimit Qeveritar (tetor 1998-tetor 1999).
Gjatë periudhës nëntor 1999-shkurt 2002 ka qenë Kryeministër i Shqipërisë, i rikonfirmuar edhe pas zgjedhjeve parlamentare te vitit 2001. 
Gjatë kësaj periudhe u shënuan arritje të dukshme dhe suksese në qeverisjen e vendit, si stabilizimi i parametrave makro-ekonomikë, përmirësimi i ndjeshëm i rrjetit rrugor në vend, privatizimi i suksesshëm i disa prej sektorëve strategjikë të ekonomisë, vendosja e rendit dhe funksionimi i ligjit në të gjithë teritorin e vendit, etj.
Në Shkurt të vitit 2002, për të shmangur krizën brenda maxhorancës politike dhe qeverisëse të asaj kohe Ilir Meta dha dorëheqjen nga detyra e Kryeministrit. 
Më pas Ilir Meta u zgjodh Z/Kryeministër dhe Ministër i Punëve të Jashtme (korrik 2002-korrik 2003).
Në periudhën shtator 2009-shtator 2010, Ilir Meta ka qenë Z/Kryeministër dhe Ministër i Punëve të Jashtme e me pas Z/Kryeministër dhe Ministër i Ekonomisë, Tregtisë dhe Energjetikës (shtator 2010-janar 2011).
Nga viti 1992 Ilir Meta, është zgjedhur pa ndërprerje deputet në të gjitha legjislaturat e Kuvendit të Shqipërisë. 
Në shtator të vitit 2013 Ilir Meta u zgjodh Kryetar i Kuvendit të Shqipërisë, pozicion të cilin e mbajti deri më 28 prill 2017, ditë kur u zgjodh President i Republikës së Shqipërisë.  
Vlerësime dhe të tjera : 
Në vitet 2003-2004, Ilir Meta ka qene anëtar i Komisionit Ndërkombëtar për Ballkanin i drejtuar nga ish Kryeministri i Italisë, Xhuliano Amato. Ky komision përgatiti Raportin e rëndësishëm për të Ardhmen e Rajonit të Ballkanit dhe shtroi rrugën për pavarësimin e Kosovës.
Ilir Meta ka qenë i ftuar si lektor në konferenca dhe institucione akademike, politike dhe diplomatike brenda dhe jashtë vendit, si në Fakultetin Ekonomik të Universitetit të Tiranës, Akademia Evropiane e Berlinit, Universiteti i Harvardit, si dhe në disa akademi dhe universitete në Europë dhe SHBA.
Për aktivitetin e tij politik, kontributin e suksesshëm në qeverisje dhe rolin e tij konstruktiv në rajon Ilir Meta është vlerësuar me titullin “Personaliteti më pozitiv në politikën e jashtme të Vitit 2010” ( në mars 2012) nga Instituti Ndërkombëtar (IFIMES) në Ljubljanë, nga Presidenti i nderit i këtij instituti, Presidenti i Kroacisë, Stjepan Mesic. 
Ai është vlerësuar nga disa qytete të Shqipërisë dhe të rajonit me titullin e lartë “Qytetar Nderi”. 
Ilir Meta flet shqip, anglisht dhe italisht.
Ilir Meta është i martuar me Monika Kryemadhin dhe kanë tre fëmijë, Borën, Besarin dhe Erën.
</t>
  </si>
  <si>
    <t>JOMAV-José-Mario-Vaz-Président-797477746936993</t>
  </si>
  <si>
    <t>JOMAV-Presidente-580510255379054</t>
  </si>
  <si>
    <t>Jorge-Carlos-Fonseca-234404863297613</t>
  </si>
  <si>
    <t>https://www.facebook.com/JorgeFaurie/</t>
  </si>
  <si>
    <t xml:space="preserve">Ministro de Relaciones Exteriores y Culto de la República Argentina @CancilleriaARG - Foreign Affairs Minister of the Argentine Republic </t>
  </si>
  <si>
    <t>http://www.ledrian2015.bzh</t>
  </si>
  <si>
    <t>Page officielle de Jean-Yves Le Drian, candidat à la Présidence de la Région
Bretagne en 2015. #LeDrian2015 @LeDrian2015</t>
  </si>
  <si>
    <t>https://www.facebook.com/jyledrian/</t>
  </si>
  <si>
    <t>Kancelaria-Prezydenta-RP-112191058856046</t>
  </si>
  <si>
    <t>http://www.prezydent.pl</t>
  </si>
  <si>
    <t>22 695 29 00</t>
  </si>
  <si>
    <t>ul. Krakowskie Przedmieście 48/50, 00-902 Warsaw, Poland</t>
  </si>
  <si>
    <t>http://ksp.go.id</t>
  </si>
  <si>
    <t>Kantor Staf Presiden Republik Indonesia adalah lembaga nonstruktural yang berada di bawah, bertanggung jawab kepada Presiden dan dipimpin oleh Kepala Staf</t>
  </si>
  <si>
    <t>https://www.facebook.com/KantorStafPresidenRI/</t>
  </si>
  <si>
    <t>+62 21 2354 5001</t>
  </si>
  <si>
    <t>Gedung Bina Graha  Jl. Veteran No. 16 Jakarta Pusat, Jakarta, Indonesia 10110</t>
  </si>
  <si>
    <t>734023 Dushanbe, Tajikistan</t>
  </si>
  <si>
    <t>http://president.mn/, http://youtube.com/battulgakh https://twitter.com/battulgakh, http://instagram.com/battulga_kh, https://soundcloud.com/battulgakh</t>
  </si>
  <si>
    <t>Монгол Улсын Ерөнхийлөгч | President of Mongolia</t>
  </si>
  <si>
    <t>https://www.facebook.com/KhaltmaaBattulga/</t>
  </si>
  <si>
    <t>http://www.korea.net</t>
  </si>
  <si>
    <t>Welcome to the official facebook page of the Republic of Korea run by the Korean Culture and Information Service.</t>
  </si>
  <si>
    <t>December 31, 1971</t>
  </si>
  <si>
    <t>https://www.facebook.com/KoreaClickers/</t>
  </si>
  <si>
    <t xml:space="preserve">KOCIS was inaugurated as the Overseas Information Center under the Ministry of Culture and Information in 1971 to introduce Korean culture to the world and uplift the national image of Korea.
41 resident officers working at 37 locations (including cultural centers) in 31 countries have been working to build a kind of "Korea premium" brand. Korea.net strives to carefully answer the various questions and requests from our readers and visitors, and to stimulate their further curiosity. </t>
  </si>
  <si>
    <t>Visit our website www.korea.net for more in-depth stories about the country, the people and all other topics surrounding the Republic of Korea. Korea.net is serviced in nine languages : English, Spanish, Chinese, Vietnamese, Japanese, German, French, Russian and Arabic. 
Follow us (Instagram) at instagram.com/gateway_to_korea, Weibo at weibo.com/koreaculture and drop by our Korea Blog at http://koreanetblog.blogspot.kr/
We also run Youtube (https://www.youtube.com/user/GatewayToKorea), Republic of Korea Flickr (https://www.flickr.com/photos/koreanet) and Republic of Korea (Scribd).
We welcome your feedback, but may not be able to cater to all requests.
Any action that does not comply with commonly known norms of online etiquette will be dealt with, with measures we find appropriate.</t>
  </si>
  <si>
    <t>KOCIS has introduced Korea to the world and the importance of its role as a means of consolidating ties with neighboring countries, using cultural exchanges.</t>
  </si>
  <si>
    <t>Kryeministria-e-republikes-se-Shqiperise-772125672825922</t>
  </si>
  <si>
    <t>Riga, Latvia-LV-1395</t>
  </si>
  <si>
    <t>https://www.youtube.com/watch?v=Ye6L1C-O0Hg</t>
  </si>
  <si>
    <t>Chers concitoyens,
"Le Rendez-vous, fotoambita" est notre rencontre exclusive hebdomadaire où je m’exprimerai,pour vous parler directement de thèmes variés. Je vous invite à exprimer vos opinions. 
Hery Rajaonarimampianina</t>
  </si>
  <si>
    <t>TV Channel</t>
  </si>
  <si>
    <t>https://www.facebook.com/lerendezvousmada/</t>
  </si>
  <si>
    <t>Ry Malagasy mpiray tanindrazana,
Manokana fotoana isan –kerinandro hiresahana mivantana sy mahitsy amina "Discours Vérité", ary hitondra fanazavana aminareo eto aho.
Maro ny lohahevitra hifanakalozana ka samia maneho hevitra. 
Mahafaly ahy ihany koa ny mizara sy miresaka an-kitsipo amin'ny vahoaka malagasy rehetra tsy an-kanavaka mikasika ny faharaham-pirenena, na amin'ny lafiny toe-karena, sosialy ary politika eto Madagasikara .
Aza misalasala maneho hevitra ! 
Hiara-hikatsaka ny soa isika. 
Hery Rajaonarimampianina
-----
Chers concitoyens,
"Le Rendez-vous, fotoambita" est notre rencontre exclusive hebdomadaire où je m’exprimerai,pour vous parler directement de thèmes variés. Je m’exprimerai de manière directe et apporterai des clarifications sur la situation et les événements à Madagascar, dans ce que j’appellerai un ‘Discours Vérité’. 
Je parlerai de la gestion des affaires de l’Etat, des décisions capitales sur la stratégie de développement régional et national, sur tous les plans ; social, économique et aussi politique.
Je répondrai, par-dessus tout, aux questions les plus posées sur les différents sujets polémiques parmi les concitoyens.
Je vous invite à exprimer vos opinions !
Hery Rajaonarimampianina
+ Suivez l'émission hebdomadaire sur YOUTUBE : https://www.youtube.com/watch?v=d_QEa7-0lcc
+ Suivez mon actualité en live sur TWITTER : https://twitter.com/le_rendezvous</t>
  </si>
  <si>
    <t>LR-Vyriausybė-77276644149</t>
  </si>
  <si>
    <t>http://www.twitter.com/LuisRiveraMarin</t>
  </si>
  <si>
    <t>Cuenta personal y verificada del Secretario de Estado de Puerto Rico.</t>
  </si>
  <si>
    <t>https://www.facebook.com/LuisGRiveraMarin/</t>
  </si>
  <si>
    <t>Mariano-Rajoy-Brey-54212446406</t>
  </si>
  <si>
    <t>http://www.mfa.gov.lk</t>
  </si>
  <si>
    <t>https://www.facebook.com/mfa.gov.lk/</t>
  </si>
  <si>
    <t>http://www.minfor.gov.gy</t>
  </si>
  <si>
    <t>Committed to preserving Guyana's sovereignty, territorial integrity, and contributing to the economic and social development of the Guyanese people by fostering growth with our international partners.</t>
  </si>
  <si>
    <t>https://www.facebook.com/mfaguyana/</t>
  </si>
  <si>
    <t>The Ministry of Foreign Affairs, in the discharge of its mandate to promote the interests of Guyana within the international community, is committed to preserving the country's sovereignty, territorial integrity, and to contributing to the economic and social development of the Guyanese people. The Ministry is equally committed to promoting the purposes and principles of the UN Charter, maintaining active relationships with the Diplomatic Community, through skilled, dedicated diplomatic and administrative staff; and to ensuring effective utilisation of its financial and material resources.</t>
  </si>
  <si>
    <t>+592-226-1606/7</t>
  </si>
  <si>
    <t xml:space="preserve">http://mfa.gov.mk  </t>
  </si>
  <si>
    <t>Official channel of Macedonian Ministry of Foreign Affairs.  Maintained by PR OFFICE</t>
  </si>
  <si>
    <t>https://www.facebook.com/MFAMacedonia/</t>
  </si>
  <si>
    <t>+389 2 3115 266 and +389 2 3110 333</t>
  </si>
  <si>
    <t>Blvd. "Filip Vtori Makedonski" 7, 1000 Skopje</t>
  </si>
  <si>
    <t>http://www.mfa.gov.mn</t>
  </si>
  <si>
    <t>https://www.facebook.com/mfcatt/</t>
  </si>
  <si>
    <t>http://mid.ru</t>
  </si>
  <si>
    <t>Ministarstvo-vanjskih-i-europskih-poslova-506453726037312</t>
  </si>
  <si>
    <t>Interest</t>
  </si>
  <si>
    <t>Ministère-des-Affaires-Etrangères-et-des-Guinéens-de-lEtranger-898481620186007</t>
  </si>
  <si>
    <t>Het ministerie van Buitenlandse Zaken (BZ) is ieder uur van de dag ergens in de wereld actief. Zo is het ministerie er voor u als u voor korte of langere tijd naar het buitenland gaat. 
Ook behartigt BZ de internationale betrekkingen, vanuit Den Haag en via een netwerk van ruim 150 posten over de hele wereld. Daarnaast geeft het ministerie van Buitenlandse Zaken, in overleg met andere ministeries, vorm aan het Europa van de toekomst.</t>
  </si>
  <si>
    <t>Rijnstraat 8, 2515XP The Hague, Netherlands</t>
  </si>
  <si>
    <t>Ministry-of-Foreign-Affairs-Belize-511449525613301</t>
  </si>
  <si>
    <t>Ministry-of-Foreign-Affairs-Botswana-281137451918748</t>
  </si>
  <si>
    <t>Ministry-of-Foreign-Affairs-Maldives-434954336556544</t>
  </si>
  <si>
    <t>Ministry-of-Foreign-Affairs-Republic-of-Liberia-371689359570483</t>
  </si>
  <si>
    <t>http://www.president.uz</t>
  </si>
  <si>
    <t>Шавкат Миромонович Мирзиёев родился 24 июля 1957 года в Зааминском районе Джизакской области в семье врача. По национальности – узбек. Образование – высшее, в 1981 году окончил Ташкентский институт инженеров ирригации и механизации сельского хозяйства, получив специальность инженера-механика. Кандидат технических наук, доцент.
Начал трудовую деятельность в 1981 году в Ташкентском институте инженеров ирригации и механизации сельского хозяйства, работал младшим научным сотрудником, старшим преподавателем, доцентом, проректором по учебной работе.  
В 1990 году избран депутатом Верховного Совета республики, был председателем Мандатной комиссии. 
В 1992 году был назначен хокимом Мирзо-Улугбекского района города Ташкента. В 1996–2001 годах работал в должности хокима Джизакской области, в 2001–2003 годах – хокимом Самаркандской области, внес большой вклад в социально-экономическое развитие вышеназванных района и областей.
Работая в органах исполнительной власти, одновременно в 1995–2003 годах в качестве депутата Олий Мажлиса Республики Узбекистан активно и плодотворно участвовал в разработке и принятии важных законодательных документов, направленных на политическое и социально-экономическое развитие страны и реализацию демократических реформ.
Ш.М. Мирзиёев в 2003 году был утвержден Премьер-министром Республики Узбекистан и еще три раза – в 2005, 2010, 2015 годах – утверждался на этот пост палатами Олий Мажлиса.
С первых дней независимости нашей Родины Ш.М. Мирзиёев, заслужив высокое доверие Первого Президента Республики Узбекистан Ислама Каримова, самоотверженно работает как его соратник и единомышленник.
Ш.М. Мирзиёев на посту главы правительства проявил свой высокий потенциал и выдающиеся организаторские способности в реализации широкомасштабных социально-экономических реформ, модернизации и обновлении страны, осуществлении крупных и уникальных проектов, развитии и обеспечении приоритета частной собственности, кардинальном повышении доли малого бизнеса и частного предпринимательства в экономике и дальнейшем укреплении их правовой защиты.
Особое внимание в своей работе он уделял развитию экономики на индустриальной основе, повышению экспортного потенциала страны, коренному реформированию аграрной сферы, в первую очередь широкому развитию фермерского движения, глубокой переработке сельскохозяйственной продукции, обеспечению продовольственной безопасности республики и гарантированному обеспечению населения потребительскими товарами по доступным ценам.
В целях кардинального улучшения условий жизни и труда населения Ш.М. Мирзиёевым были приняты эффективные меры по масштабному строительству и благоустройству во всех регионах страны, повышению качества коммунальных услуг, комплексному развитию городов и районов республики, особенно отдаленных сельских районов.
В деятельности Ш.М. Мирзиёева наряду с социально-экономическим направлением важное место в качестве приоритетных задач занимали вопросы развития сфер образования, науки и здравоохранения в соответствии с современными требованиями, создания необходимых условий для формирования здорового и гармоничного развитого молодого поколения, усиления охраны материнства и детства. 
Большое внимание он уделял дальнейшему повышению авторитета уникального института самоуправления – махалли, других общественных организаций, последовательному усилению их влияния в обществе на основе широкого вовлечения в процесс демократических реформ, а также сохранению и приумножению национальных духовных ценностей.
Вместе с тем в ходе осуществления экономических и социальных задач непосредственно руководил работой по укреплению всестороннего взаимовыгодного сотрудничества с зарубежными странами и международными структурами, а также международными финансовыми институтами и заключению важных соглашений, отвечающих национальным интересам и служащих экономическому развитию страны.
8 сентября 2016 года на основании совместного постановления Законодательной палаты и Сената Олий Мажлиса Республики Узбекистан, принятого на совместном заседании палат парламента, на Премьер-министра Республики Узбекистан Ш.М.  Мирзиёева было временно возложено исполнение обязанностей и полномочий Президента Республики Узбекистан. 
Ш.М. Мирзиёев женат, имеет двух дочерей, одного сына и пять внуков. Супруга З.М. Мирзиёева – по образованию инженер-экономист, в настоящее время – домохозяйка.
За многолетний плодотворный труд в органах государственной власти и управления, огромный вклад в дело развития страны, повышения благосостояния народа Ш.М. Мирзиёев награжден орденами «Мехнат шухрати» и «Фидокорона хизматлари учун».</t>
  </si>
  <si>
    <t>https://www.facebook.com/Mirziyoyev/</t>
  </si>
  <si>
    <t>MoFA-of-Indonesia-134183339948571</t>
  </si>
  <si>
    <t>[문재인 공식 사이트]
페이스북(문재인캠프) https://goo.gl/zjNCzp
네이버블로그 https://goo.gl/UBcdGo
트위터 https://goo.gl/xQfdLG
유튜브 https://goo.gl/KHdMyY
인스타그램 https://goo.gl/d5hJYB</t>
  </si>
  <si>
    <t xml:space="preserve">* 약력
1971년 부산 경남고등학교 졸업
1980년 제 22회 사법시험 합격
1980년 경희대학교 법과대 졸업
1982년 노무현 변호사와 합동법률사무소를 시작, 노동인권변호사로 활동
1985년 부산 민주시민협의회 상임위원
1987년 부산 국민운동본부 상임집행위원
1995년 법무법인 부산 설립
2002년 노무현 대통령후보 부산 선거대책본부장
2003년, 2005년 청와대 민정수석
2004년 청와대 시민사회수석
2007년 청와대 비서실장
2007년 제2차 남북정상회담 추진위원회 위원장
2009년 고 노무현 전 대통령 국민장의위원회 상임집행위원장
2010년 사람사는 세상 노무현재단 이사장
2011년 혁신과 통합 상임공동대표
2012년 민주당 국회의원(부산 사상구)
2014년 새정치민주연합 국회의원(부산 사상구)
* 기타경력
- 부산광역시 교육청 행정심판위원
- 부산지방변호사회 인권위원장, 민주사회를 위한 부산-경남 변호사 모임 대표
- 천주교 인권위원회 인권위원과 부산 NCC 인권위원, 부산 YMCA 이사, (사)노동자를 위한 연대 대표
- 한국해양대학교 해사법학과 강사(1984)
- 한겨레신문 창간위원(1988)
- 부산시 선거관리위원회 위원
- 부산민주공원설계 현상공무 2차 심사위원회 위원장
</t>
  </si>
  <si>
    <t>https://www.facebook.com/moonbyun1/</t>
  </si>
  <si>
    <t xml:space="preserve"> www.mzv.cz</t>
  </si>
  <si>
    <t>Официјална страна на Никола Димитров - Министер за надворешни работи на Република Македонија</t>
  </si>
  <si>
    <t>https://www.facebook.com/NDimitrovMK/</t>
  </si>
  <si>
    <t>Πρόεδρος της Κυπριακής Δημοκρατίας - President of the Republic of Cyprus</t>
  </si>
  <si>
    <t>Προεδρικό Μέγαρο, Nicosia, Cyprus</t>
  </si>
  <si>
    <t>Office-of-the-President-791067600945337</t>
  </si>
  <si>
    <t>Office-of-the-President-Republic-of-Botswana-752312678198295</t>
  </si>
  <si>
    <t>Main Mall, 267 Gaborone, Botswana</t>
  </si>
  <si>
    <t>Office-of-the-Prime-Minister-Belize-317057388365804</t>
  </si>
  <si>
    <t>www.bahamas.gov.bs</t>
  </si>
  <si>
    <t>The official Facebook page for the Office of The Prime Minister- Grand Bahama, office of The Hon.Hubert A. Minnis Prime Minister of The Commonwealth of The Bahamas; and Minister of State for Grand Bahama Hon. James Kwasi Thompson</t>
  </si>
  <si>
    <t>https://www.facebook.com/opmgbi/</t>
  </si>
  <si>
    <t>The official Facebook page for the Office of The Prime Minister- Grand Bahama (OPM-GB), office of The Dr. Hon.Hubert A. Minnis, Prime Minister of The Commonwealth of The Bahamas; and office of Sen. James Kwasi Thompson, Minister of State for Grand Bahama. If you are commenting on this page, please read our moderation policy:
1. Administration
(1) This Facebook Page is managed by:
Office of the Prime Minister-Grand Bahama
(2) Content of posts
Office of the Prime Minister- Grand Bahama' Facebook Page posts include the Prime Minister's and Minister of State for Grand Bahama ideas, policies and daily activities at the Office of The Prime Minister- Grand Bahama, and some photographs.
2. Management of comments
(1) Responding to comments
In principle, the OPM-GB  will not respond to any comments or messages posted on the Facebook Page.
(2) Deleting comments
We reserve the right to exercise our copyright over our facebook pages, and for that purpose to use facebook functions, to hide, in part or in full, delete or decline comments which are deemed to fall under any of the following conditions without notifying the users.
-Comments that infringe a law, ordinance, or other regulations;
-Comments that violate public order and morals;
-Comments that promote criminal acts;
-Comments that slander or defame 
-Comments that breach privacy, including disclosing and leaking personal information without the authorization of its owner;
-Comments that breach third-party rights, including patents, design rights, copyrights, trademarks, and portrait rights;
-Comments' purpose is to generate profit;
-Comments that include false information or significantly deviate from the truth;
-Comments that violate the Facebook policy;
-Comments that are designed to cause nuisance to the Page administrator;
-Comments that include abusive, obscene, indecent, offensive words, hate speech or link to websites with such contents;
-Comments that intend to take viewers to other websites, without expressing any views or opinions;
-Comments with the same or similar contents are posted repeatedly by the same user.
(3) Banning users
We also reserve the right to ban users who post comments listed above. Those users who violate the moderation policy may be banned permanently.
3. URL of the Office of The Prime Minister- Grand Bahama
https://www.facebook.com/opmgbi
4. Modification of the Moderation Policy
We may at any time, without notice, revise these policies and other information contained in this Page.
5. Intellectual property rights
Intellectual property rights over the photographs, illustrations, audio, video, and text, etc., posted on the Page belong to the OPM Public Relations Office or those with valid rights.
People are free to use "Like and "Share functions for the posts on the Facebook Page. All the information on the Page, may be reused with attribution. However, this does not apply to information marked "All Rights Reserved.
6. Disclaimer
-The office is taking every possible care to ensure the accuracy of the information posted on the Page. However, the OPM-GB cannot accept responsibility for any consequences whatsoever that may result from decisions or actions taken by users based on the information on the Page.
-Please note that the OPM-GB  is not responsible for any inter-user trouble caused by the Page or damages suffered as a result, or for any user-third party trouble caused by the Page or damages suffered as a result.
-The copyright and other rights of the posts, including comments that belong to the users who made the post. However, by posting content, it is deemed that the user licensed the right to utilize the content globally at no charge and on a non-exclusive basis to the OPM-GB  and it is deemed that the user has consented to not exercising its copyright or other rights against the OPM-GB.
-OPM-GB bears no responsibility for any other damages caused by the Page.</t>
  </si>
  <si>
    <t>242-352-8525</t>
  </si>
  <si>
    <t>+256 417 770 660</t>
  </si>
  <si>
    <t>www.palaugov.pw</t>
  </si>
  <si>
    <t>https://www.facebook.com/PalauPresident/</t>
  </si>
  <si>
    <t>Profilo ufficiale della Presidenza del Consiglio dei Ministri. 
Seguici anche su:
https://www.instagram.com/palazzo_chigi/
https://twitter.com/Palazzo_Chigi
Social Media Policy: http://www.governo.it/note-legali#socialmedia</t>
  </si>
  <si>
    <t>http://www.gouvernement.gov.bf</t>
  </si>
  <si>
    <t xml:space="preserve">Premier Ministre du Burkina Faso </t>
  </si>
  <si>
    <t>https://www.facebook.com/Paulkaba.2016/</t>
  </si>
  <si>
    <t>Ouagadouga, Kadiogo, Burkina Faso</t>
  </si>
  <si>
    <t>Bienvenue sur la page Facebook officielle de l’Honorable Pravind Kumar Jugnauth, le Premier ministre de la République de Maurice.</t>
  </si>
  <si>
    <t xml:space="preserve">This is the official Facebook page of the Prime Minister of Bhutan and is managed by the Media Division under Prime Minister's Office. </t>
  </si>
  <si>
    <t>Prime Minister Hailemariam Dessalegn</t>
  </si>
  <si>
    <t>www.pmo.gov.et</t>
  </si>
  <si>
    <t>Prime Minister of Federal Democratic Republic of Ethiopia</t>
  </si>
  <si>
    <t>Hailemariam Desalegn Boshe is the Prime Minister of Federal Democratic Republic of Ethiopia and the Chairman of the Ethiopian People's Revolutionary Democratic Front (EPRDF), the ruling party.  He previously served as Deputy Prime Minister and Minister of Foreign Affairs. Hailemariam also served as the Chairperson of the African Union from 2013 to 2014 and served President of the Southern Nations, Nationalities and People’s Regional State from November 2001 to March 2006.</t>
  </si>
  <si>
    <t>EPRDF</t>
  </si>
  <si>
    <t>This is Official Account of Prime Minister Hailemariam Desalegn.</t>
  </si>
  <si>
    <t>4killo, 10000 Addis Ababa, Ethiopia</t>
  </si>
  <si>
    <t>https://www.facebook.com/pmharriskn/</t>
  </si>
  <si>
    <t xml:space="preserve">PPK economista, profesor universitario y músico peruano. Nació en Lima el 3 de octubre de 1938.
Hijo de dos inmigrantes que llegaron al Perú atraídos por su vocación social. Su padre, Maxime Kuzcynski fue un médico alemán de ascendencia polaca, pionero en el tratamiento de enfermedades tropicales, que se instaló junto a su familia en la Amazonía peruana desde mediados de la década de los 30, desempeñándose ahí como Director del Leprosorio de San Pablo. Ello hizo posible que PPK viva parte de su infancia en Iquitos. Mas tarde, su padre fue nombrado Jefe de Salud Pública del Ministerio de Salud del Gobierno Peruano. Su madre Madeleine Godard, fue profesora y lo introdujo en el amor por las artes y la música, que son parte importante de su vida.
Cuando llegó a la edad escolar ingresó a un colegio internado de Lima y luego complementó su educación en un colegio militar de Inglaterra. Tras ganar una beca estudió Filosofía, Economía y Política en la Universidad de Oxford (Reino Unido) y luego realizó un postgrado en Economía en la Escuela Woodrow Wilson de Asuntos Públicos e Internacionales de la Universidad de Princeton (USA).
Regresó al Perú el año 1966 para apoyar al gobierno democrático de Fernando Belaúnde Terry, en el que se desempeñó como asesor económico y gerente del Banco Central de Reserva del Perú (BCR). Tras el golpe de Estado al Presidente Belaúnde, del 3 de octubre de 1968, PPK fue detenido y exiliado por el llamado Gobierno Revolucionario de las Fuerzas Armadas. Viajó a Estados Unidos donde radicó y se desempeñó como Jefe de Planificación y Política en el Banco Mundial. Durante esos años PPK conoció las distintas realidades de la economía mundial. Entre 1977 y 1980 trabajó en África Occidental en el sector minero e incursionó durante esa época en el sector industrial.
Tras su exitosa carrera en el Banco Mundial, PPK decide volver al Perú y colaborar en la campaña electoral de Fernando Belaúnde en 1980, quien al asumir su segundo mandato lo nombra Ministro de Energía y Minas.
En el año 2001 continuó su carrera pública y fue designado Ministro de Economía y Finanzas y luego Presidente del Consejo de Ministros por el presidente Alejandro Toledo. Durante la gestión de PPK a la cabeza de esos dos ministerios la economía peruana se fortaleció y creció entre el 5% y el 8% anual.
PPK laboró para el sector privado en diversas partes del mundo por más de 25 años y es un activo conferencista universitario, promotor del desarrollo y la lucha contra la pobreza, por lo que se le reconoce también como un líder empresarial y técnico. Es un asiduo concurrente de foros tanto en el Perú como en el extranjero en estos temas.
Actualmente trabaja en su ONG Agualimpia, entidad sin fines de lucro destinada a apoyar a los gobiernos de zonas rurales. El objetivo de esta institución es organizar y financiar proyectos de agua potable y alcantarillado para las comunidades más pobres del Perú. Agua Limpia ejecuta decenas de proyectos en las regiones de Ancash, Arequipa y La Libertad, entre otras.
</t>
  </si>
  <si>
    <t>Presidente Constitucional 
de la República del Perú</t>
  </si>
  <si>
    <t>Le Président de la République est élu au suffrage universel direct et au scrutin majoritaire à deux tours. La durée du mandat du Président de la République est de sept ans. Le mandat est renouvelable une seule fois.
Son Excellence Macky Sall est le président de la République du Sénégal. Il a été élu le 25 mars 2012.
Retrouvez la charte de modération des réseaux sociaux de la Présidence de la République : http://ow.ly/tYr530dYRW3.</t>
  </si>
  <si>
    <t>Presidencia-de-la-Rep%C3%BAblica-de-Panama-529224993865914</t>
  </si>
  <si>
    <t xml:space="preserve">Presidencia de la República de Panamá. El Palacio de las Garzas es la sede del Poder Ejecutivo del país y es donde se encuentra el despacho del Señor Presidente. </t>
  </si>
  <si>
    <t>809-695-8000</t>
  </si>
  <si>
    <t>http://www.president.ps</t>
  </si>
  <si>
    <t>Welcome to the Palestinian President Mahmoud Abbas’ Official Facebook Page.
أهلا وسهلا بكم في الصفحة الرسمية للسيد الرئيس محمود عباس  أبو مازن على الفيسبوك</t>
  </si>
  <si>
    <t xml:space="preserve">President Abbas co-founded the Palestine Liberation Organization (PLO). He had been a close partner of late president Yasser Arafat. He has authored around 100 books and articles. He was the first Palestinian Prime Minister, and that was in the sixth Palestinian government. </t>
  </si>
  <si>
    <t>https://www.facebook.com/President.Mahmoud.Abbas/</t>
  </si>
  <si>
    <t>The Palestinian National Liberation Movement (Fatah)</t>
  </si>
  <si>
    <t>Al Etha'a St. , Al-Bireh, +970 Ramallah</t>
  </si>
  <si>
    <t>Primature-de-la-Republique-du-Tchad-119987794693584</t>
  </si>
  <si>
    <t>Primature-Lapani-Mahazoarivo-727643947321702</t>
  </si>
  <si>
    <t>https://primeminister.kz/ru</t>
  </si>
  <si>
    <t>http://www.opm.go.kr</t>
  </si>
  <si>
    <t>세종특별자치시 다솜로 261(어진동) 정부세종청사 국무조정실·국무총리비서실, 30107</t>
  </si>
  <si>
    <t>Prime-Minister-office-of-Mongolia-135047926675334</t>
  </si>
  <si>
    <t>Quirinale-1531737037092929</t>
  </si>
  <si>
    <t>http://www.tccb.gov.tr/</t>
  </si>
  <si>
    <t>Türkiye Cumhurbaşkanı - President of Turkey</t>
  </si>
  <si>
    <t>Regierung-des-F%C3%BCrstentums-Liechtenstein-1411588962478507</t>
  </si>
  <si>
    <t>REPUBLIC-OF-TOGO-6683533941</t>
  </si>
  <si>
    <t>الديوان الملكي الهاشمي
The Royal Hashemite Court</t>
  </si>
  <si>
    <t>RT-Hon-Dr-Ruhakana-Rugunda-1577972009097699</t>
  </si>
  <si>
    <t>https://www.facebook.com/RwandaMFA/</t>
  </si>
  <si>
    <t>www.SaadHariri.com</t>
  </si>
  <si>
    <t xml:space="preserve">- Chairman &amp; CEO of Saudi Oger Ltd
- Chairman of French-based contracting and consulting corporation Oger International Entreprise de Travaux Internationaux.
- Founder and Chairman of Oger Telecom.
- Holds stakes and interests in various real estate development and telecom industry projects around the world.
- 1992 Graduate of Georgetown University, Washington D.C., with a Bachelor Degree in International Business.
- Married to Lara Al-Azem and the father of three children: Hussam, Lulua, and Abdel Aziz.
</t>
  </si>
  <si>
    <t>https://www.facebook.com/saadhariri/</t>
  </si>
  <si>
    <t xml:space="preserve">
رئيس مجلس وزراء لبنان 
مشاركات الرئيس توقّع SH  
بإدارة قسم وسائل التواصل الاجتماعي والاعلام الجديد
President of the Council of Ministers of Lebanon 
Messages by His Excellency are signed -SH
Managed by the Social &amp; New Media Department</t>
  </si>
  <si>
    <t>Saulius-Skvernelis-814777171988967</t>
  </si>
  <si>
    <t>https://www.facebook.com/segreteriaaffariesteriSM/</t>
  </si>
  <si>
    <t>Pagina istituzionale della Segreteria di Stato per gli Affari Esteri, gli Affari Politici e la Giustizia della Repubblica di San Marino</t>
  </si>
  <si>
    <t>Seretse-Khama-Ian-Khama-667630409972128</t>
  </si>
  <si>
    <t>http://www.mdshahriaralam.com</t>
  </si>
  <si>
    <t>Md Shahriar Alam is one of the most respected Youth Icon and the Honorable State Minister for Foreign Affairs of People's Republic of Bangladesh !</t>
  </si>
  <si>
    <t>https://www.facebook.com/ShahriarAlamMp/</t>
  </si>
  <si>
    <t>Cricket
Football
Tennis
Hockey
Reading
Travelling</t>
  </si>
  <si>
    <t>House 43, Road 35/A, Gulshan, Dhaka, 1212 Dhaka, Bangladesh</t>
  </si>
  <si>
    <t>Sheikh-Mohamed-bin-Zayed-bin-Sultan-Al-Nahyan-1631139903865661</t>
  </si>
  <si>
    <t>To provide timely and relevant information in a highly efficient manner to the general public regarding the policies and activities of the Government</t>
  </si>
  <si>
    <t>Church Street, 00265 Basseterre, Saint Kitts and Nevis</t>
  </si>
  <si>
    <t>This is the official Facebook Account of the Federal Republic of Somalia, maintained by the Ministry of Foreign Affairs and International Cooperation.</t>
  </si>
  <si>
    <t>July 01, 1960</t>
  </si>
  <si>
    <t>https://www.facebook.com/Somalia/</t>
  </si>
  <si>
    <t>The Ministry of Foreign Affairs and International Cooperation of the Federal Republic of Somalia has created this Facebook page as an official source of information, to publish some content, photos and videos of political developments and national celebrations as well as to promote investment, tourism, livestock exports, bananas, mineral wealth, oil and fisheries.
This account is managed by :
- Qeybta Warbaahinta iyo Xiriirka Bulshada ee Wasaaradda.
- Section of Press and Public Relations of the Ministry.
- القسم الصحفي والعلاقات العامة للوزارة
User comments posted on this page do not constitute an official endorsement on behalf of the Ministry of Foreign Affairs and International Cooperation.
User posting guidelines:
So as encourage the expression of opinions and open discussion with Ministry staff, we have enabled user posting on the wall but ask that you respect our user posting guidelines:
• Violent, obscene, profane, hateful, or racist content will be deleted and repeat offenders blocked from the page without notice.
• Comments that threaten or defame any person or organization will be deleted and repeat offenders blocked from the page without notice.
• Solicitations, advertisements, or endorsements of any financial, commercial organizations will be deleted and repeat offenders blocked from the page without notice.
If you have any query, please feel free to contact with the Head Section of Press and Public Relations ( PPR) of the Ministry of Foreign Affairs and International Cooperation through the following Emails :
ppr@mfa.gov.so
ppublicrelation@gmail.com</t>
  </si>
  <si>
    <t>(55) 3686 - 5581</t>
  </si>
  <si>
    <t>http://www.statehouse.gov.zm</t>
  </si>
  <si>
    <t>Sultan-of-Brunei-Hassanal-Bolkiah-203783963024091</t>
  </si>
  <si>
    <t>في صوره النا نحنا المغاويرالبحر جنب التنور ممكن نشرها او ارسالها لنا وشكرا, 963 Damascus, Syria</t>
  </si>
  <si>
    <t>http://www.basbakanlik.gov.tr/</t>
  </si>
  <si>
    <t>http://www.president.go.kr/</t>
  </si>
  <si>
    <t xml:space="preserve">대한민국 청와대 공식 페이스북입니다. 국민과 늘 함께하는 청와대가 되겠습니다.  </t>
  </si>
  <si>
    <t>https://www.facebook.com/TheBlueHouseKR/</t>
  </si>
  <si>
    <t xml:space="preserve">대한민국 청와대 공식 페이스북 페이지 입니다. 국민의 손을 잡고 함께 가는 청와대가 되겠습니다. </t>
  </si>
  <si>
    <t>www.gov.to</t>
  </si>
  <si>
    <t>https://www.facebook.com/TongaGovtPortal/</t>
  </si>
  <si>
    <t>مرحبا بكم في الموقع الرسمي لوزارة الشؤون الخارجية للجمهورية التونسية
www.diplomatie.gov.tn</t>
  </si>
  <si>
    <t xml:space="preserve"> Ministère des Affaires Etrangères de la République tunisienne </t>
  </si>
  <si>
    <t>https://www.facebook.com/TVMelescanu/</t>
  </si>
  <si>
    <t>http://um.dk/da/rejse-og-ophold/</t>
  </si>
  <si>
    <t>Ukgovernment</t>
  </si>
  <si>
    <t>Official Facebook page of the Ministry of Foreign Affairs of Estonia.
Eesti Vabariigi Välisministeeriumi ametlik Facebooki leht.</t>
  </si>
  <si>
    <t>Vbainimarama</t>
  </si>
  <si>
    <t xml:space="preserve">This is the Official Page of Dr Pelonomi Venson-Moitoi of the BDP. </t>
  </si>
  <si>
    <t>https://www.facebook.com/vensonBDP/</t>
  </si>
  <si>
    <t>Christian</t>
  </si>
  <si>
    <t>Lifetime Member of BDP since 1970
My Service to the BDP includes;
1993 - 1994 Co-ordinated the Elections from Tsholetsa
1998 Member of PEEC
1999 - 2003 Deputy Secretary General (two terms)
2003 - 2009 Member of the Central Committee
• Member of the Manifesto Committee 1993 and 1998
• Member of the strategy team
• Produced reporting formats for party structures
• Organised training for regional committees
• Designed BDP office procedures and filing Index</t>
  </si>
  <si>
    <t>Официјална Фејсбук страна на Владата на Република Македонија. Official Facebook page of the Government of the Republic of Macedonia.</t>
  </si>
  <si>
    <t>Официјална Фејсбук страна на Владата на Република Македонија, преку која граѓаните можат да се информираат за тековното работење на Владата на РМ, и преку отворена и конструктивна комуникација, да ги споделуваат своите коментари, идеи и прашања.
Оваа страна има за цел навремено и транспарентно да ги информира граѓаните за активностите на Владата и за корисните информации и услуги кои ги обезбедуваат институциите за граѓаните.
Владата на Македонија е орган на извршната власт во Република Македонија избран по предвремените парламентарни избори од 11 декември 2016. Лидерот на СДСМ Зоран Заев доби мандат за состав на владата од претседателот Ѓорге Иванов како предводник на најголемата партија од парламентарното мнозинство. Собранието на Република Македонија на 31 мај 2017 со 62 гласа „за“, 44 „против“ и 5 „воздржани“ ја изгласа Владата на премиерот Зоран Заев. Освен Социјалдемократскиот Сојуз на Македонија во Владата учествуваат и Демократската Унија за Интеграција со шест министри и Алијанса за Албанците со двајца министри.
Мандатот на Владатаа е да ги реализира политичките определби предвидени во програмата за работа на Владата 2017-2020: http://vlada.mk/sites/default/files/programa/2017-2020/ProgramaVlada2017-2020_08062017.pdf
• Претседател на Владата на РМ е Зоран Заев - http://vlada.mk/pretsedatel
Владата на РМ ја сочинуваат следниве министри:
• Заменичка на претседателот на Владата и министерка за одбрана, Радмила Шекеринска Јанковска - http://vlada.mk/node/48 
• Заменик на претседателот на Владата и министер за внатрешни работи, Оливер Спасовски - http://vlada.mk/node/13047 
• Заменик на претседателот на Владата, задолжен за европски прашања, Бујар Османи - http://vlada.mk/node/46
• Заменик на претседателот на Владата, задолжен за економски прашања и за координација со економските ресори, д-р. Кочо Анѓушев - http://vlada.mk/node/45
• Заменик на претседателот на Владата, задолжен за спроведување на Рамковниот договор и политички систем, Хазби Лика - http://vlada.mk/node/13059
• Министер за надворешни работи, Никола Димитров - http://vlada.mk/node/13060 
• Министер за финансии, Драган Тевдовски - http://vlada.mk/node/12141 
• Министер за здравство, Арбен Таравари - http://vlada.mk/node/13077 
• Министер за правда, Билен Саљији - http://vlada.mk/node/13083
• Министер за транспорт и врски, Горан Сугарески - http://vlada.mk/node/13052 
• Министер за економија, Крешник Бектеши - http://vlada.mk/node/9134 
• Министер за земјоделство, шумарство и водостопанство, Љупчо Николовски - http://vlada.mk/node/13061 
• Министер за информатичко општество и администрација, Дамјан Манчевски - http://vlada.mk/node/56
• Министерка за труд и социјална политика, Мила Царовска - http://vlada.mk/node/12626
• Министерка за образование и наука, Рената Тренеска Десковска - http://vlada.mk/node/9150
• Министер за локална самоуправа, Сухејл Фазлиу - http://vlada.mk/node/13062 
• Министер за култура, Роберт Алаѓозовски - http://vlada.mk/node/58 
• Министер за животна средина и просторно планирање, Садула Дураки - http://vlada.mk/node/13079
• Министер без ресор задолжен за комуникации, отчетност и транспарентност, Роберт Поповски - http://vlada.mk/node/13093
• Министер без ресор задолжен за дијаспора, Едмонд Адеми - http://vlada.mk/node/63
• Министер без ресор задолжен за странски инвестиции, Аднан Ќахил - http://vlada.mk/node/61 
• Министер без ресор, задолжен за имплементација на Стратегијата за подобрување на состојбата на Ромите во Република Македонија, Самка Ибраимовски - http://vlada.mk/node/62 
• Министер без ресор задолжен за регулатива за подобрување на инвестициската клима за домашните претпријатија, Зоран Шапуриќ - http://vlada.mk/node/13081
• Министерка без ресор задолжен за странски инвестиции, Зорица Апостолска - http://vlada.mk/node/13080 
• Министер без ресор задолжен за странски инвестиции, Рамиз Мерко - http://vlada.mk/node/13078 
Владата на РМ ја сочинуваат следниве министерства: http://vlada.mk/ministerstva</t>
  </si>
  <si>
    <t>Во име на поттикнување отворена, креативна и конструктивна дискусија, како и размена на мислења во која никој нема да се почуствува отфрлен или навреден, Владата на РМ нема да одобрува навредувачки или омалуважувачки содржини или промоција на нетолеранција, дискриминација и насилство. Поради задржување на достоинствено ниво на комуникација Владата на РМ го задржува правото коментарите со навредувачка содржина да бидат отстранети, а корисниците кои континуирано ќе ги прекршуваат правилата да бидат блокирани.
За сите останати права и обврски за одговорност на нашата страна апликативни се одредбите на политиките на Фејсбук:  https://www.facebook.com/legal/terms и https://www.facebook.com/policies/, кои подлежат на законите на државата Калифорнија и судовите во округот на Санта Клара, Калифорнија. Фејсбук е една од најголемите социјални мрежи во светот, со седиште во паркот Менло во Калифорнија, САД.</t>
  </si>
  <si>
    <t>Мисијата на Владата на Република Македонија [2017 - 2020] е да биде силно посветена на зацврстување на унитарноста, суверенитетот и стабилноста на Република Македонија. Да делува реформаторски и да се фокусира на заедничките стратешки приоритети на државата, функционирање на правната држава, градење на силни и професионални институции, членство во НАТО и Европската унија.
Pеформската агенда на Владата на Р. Македонија ќе ги овозможи заедничките цели кои ги споделуваат граѓаните на Република Македонија: подобар живот на сите граѓани, развој на економијата, враќање на демократијата, владеење на правото и на правдата, еднаквост на граѓаните, ефикасни институции, квалитетно образование и здравство, како и подобрување на меѓународниот углед и позиција на Република Македонија.</t>
  </si>
  <si>
    <t>Бул. Илинден бр. 2, 1000 Skopje</t>
  </si>
  <si>
    <t>+250 738 568 085</t>
  </si>
  <si>
    <t>Government house, 14201 Ulaanbaatar, Mongolia</t>
  </si>
  <si>
    <t>Xavier-Bettel-76714151717</t>
  </si>
  <si>
    <t>Une nouvelle ère. Notre mission: faire de la Guinée un pays émergent</t>
  </si>
  <si>
    <t>https://www.facebook.com/YoulaPremierministre/</t>
  </si>
  <si>
    <t>Primature, Conakry, Guinea</t>
  </si>
  <si>
    <t>http://vlada.mk/pretsedatel</t>
  </si>
  <si>
    <t>Претседател на Владата на Република Македонија и претседател на СДСМ.</t>
  </si>
  <si>
    <t>Зоран Заев е роден е на 8 октомври 1974 година во Струмица.
Дипломирал на Економскиот факултет при универзитетот „Св. Кирил и Методиј“ во Скопје во 1997 година. На истиот универзитет бил на постдипломски студии по монетарна економија и финансии.
По победата на локалните избори во 2013 година, во Струмица, го почнува својот трет последователен мандат како градоначалник на овој град, и оваа функција ја извршува до декември 2016 година.
Добитник е на наградата за најдобри практики од Советот на Европа за првото јавно – приватно партнерство во Република Македонија, имплементирано во изградбата на објектот „Глобал”. Општина Струмица под негово водство е добитник на највисоко државно признание во областа на екологијата (2007 – 2008 година).
Во периодот од 2003 до 2005 година бил пратеник во Собранието на Република Македонија.
Професионалната кариера ја започнува како вработен во „Тргопродукт“ – Струмица во периодот од 1997 до 2003 година, а од 2001 бил и директор на истото претпријатие. Бил член на Управниот одбор на штедилницата „Пеон“ (1998 – 2003), како и на Управниот одбор на Индустријата за градежни материјали „Еленица” (2001 – 2003). Во периодот од 2000 до 2003 година ја врши функцијата Претседател на управниот одбор на ЈПКД „Комуналец” - Струмица.
Зоран Заев е претседател на СДСМ од 2013 година. Заев бил потпретседател на Централниот одбор на СДСМ во периодот од 2006 до 2008 година. На VIII Конгрес на СДСМ во 2008 година е избран за в.д. претседател на партијата, функција која ја вршеше до IX Конгрес кога беше избран за потпретседател на Централниот одбор на партијата.
На 31 мај 2017 година Зоран Заев е избран за претседател на Владата на Република Македонија.
Оженет е со Зорица Заева со која има две деца, Александра и Душко.</t>
  </si>
  <si>
    <t>https://www.facebook.com/zaevzoran/</t>
  </si>
  <si>
    <t>Бихаќка 8, 1000 Skopje</t>
  </si>
  <si>
    <t>President Pierre Nkurunziza</t>
  </si>
  <si>
    <t>Foreign Minister Jorge Arreaza Montserrat</t>
  </si>
  <si>
    <t>https://facebook.com/jaarreaza.ve</t>
  </si>
  <si>
    <t>jaarreaza.ve</t>
  </si>
  <si>
    <t>Foreign Minister Hugo Martínez</t>
  </si>
  <si>
    <t>HugoMartinezSV</t>
  </si>
  <si>
    <t>https://facebook.com/HugoMartinezSV</t>
  </si>
  <si>
    <t>President João Lourenço</t>
  </si>
  <si>
    <t>cdajoaolourenco</t>
  </si>
  <si>
    <t>https://facebook.com/cdajoaolourenco</t>
  </si>
  <si>
    <t>Foreign Minister Khawaja Muhammad Asif</t>
  </si>
  <si>
    <t>https://facebook.com/khawaja.asif.official</t>
  </si>
  <si>
    <t>https://facebook.com/halimahyacob</t>
  </si>
  <si>
    <t>President Halimah Yacob</t>
  </si>
  <si>
    <t>halimahyacob</t>
  </si>
  <si>
    <t>Prime Minister Ramush Haradinaj</t>
  </si>
  <si>
    <t>Foreign Minister Behgjet Pacolli</t>
  </si>
  <si>
    <t>https://facebook.com/RamushHaradinajOfficial</t>
  </si>
  <si>
    <t>https://facebook.com/behgjeti</t>
  </si>
  <si>
    <t>behgjeti</t>
  </si>
  <si>
    <t>khawaja.asif.official</t>
  </si>
  <si>
    <t>RamushHaradinajOfficial</t>
  </si>
  <si>
    <t>Foreign Minister Ignazio Cassis</t>
  </si>
  <si>
    <t>https://facebook.com/Ignazio-Cassis-486301424808499</t>
  </si>
  <si>
    <t>ignaziocassis</t>
  </si>
  <si>
    <t>João Lourenço</t>
  </si>
  <si>
    <t>Ramush Haradinaj</t>
  </si>
  <si>
    <t>Ignazio Cassis</t>
  </si>
  <si>
    <t>Behgjet Pacolli</t>
  </si>
  <si>
    <t>http://www.facebook.com/307617160152</t>
  </si>
  <si>
    <t>http://www.facebook.com/1780903085570150</t>
  </si>
  <si>
    <t>Halimah Yacob</t>
  </si>
  <si>
    <t>http://www.facebook.com/664833020216470</t>
  </si>
  <si>
    <t>http://www.facebook.com/216667985019197</t>
  </si>
  <si>
    <t>Jorge Arreaza</t>
  </si>
  <si>
    <t>http://www.facebook.com/1175583969241786</t>
  </si>
  <si>
    <t>Khawaja Asif</t>
  </si>
  <si>
    <t>http://www.facebook.com/174614782552486</t>
  </si>
  <si>
    <t>http://www.facebook.com/179643115493444</t>
  </si>
  <si>
    <t>ThaigovSpokesman</t>
  </si>
  <si>
    <t>http://www.facebook.com/486301424808499</t>
  </si>
  <si>
    <t>https://facebook.com/IsabelStMalo</t>
  </si>
  <si>
    <t>https://facebook.com/mfarighana</t>
  </si>
  <si>
    <t>https://facebook.com/ThaigovSpokesman</t>
  </si>
  <si>
    <t>BotswanaGovernment</t>
  </si>
  <si>
    <t>Ministria për Evropën dhe Punët e Jashtme - Republika e Shqipërisë</t>
  </si>
  <si>
    <t>AlbanianMEFA</t>
  </si>
  <si>
    <t>Russian Foreign Ministry - МИД России</t>
  </si>
  <si>
    <t>http://www.facebook.com/448076432006936</t>
  </si>
  <si>
    <t>T.C. Başbakanlık Kamu Diplomasisi Koordinatörlüğü Resmi Facebook sayfasıdır.</t>
  </si>
  <si>
    <t>http://www.behgjetpacolli.com</t>
  </si>
  <si>
    <t xml:space="preserve">Faqja zyrtare e Presidentit të tretë të Republikës së Kosovës Behgjet Pacolli </t>
  </si>
  <si>
    <t>Data, vendi i lindjes, familja:
30 gusht 1951, Marec, Prishtinë i martuar me znj. Masha Pacolli. Baba i gjashtë fëmijëve, tri vajza dhe tre djem (Arbëresha, Selena, Hana, Isa, Diar and Arman). 
Edukimi: 
Edukimi primar: Marec, Kosovë.
Edukimi sekondar: Prishtinë, Kosovë.
Edukimi i lartë: 1970-1973 Instituti i tregtisë së jashtme Hamburg, Gjermani
Edukimi post diplomik: 1982-1983 Master në Marketing dhe Menaxhment – Institute Mösinger Zurich. 
Profili profesional,
Përvoja: 
1974-1975 Zëvendës shef i departamentit të zhvillimit c/o Ndërmarrja e tekstilit, Gjilan, Kosovë
1976 ZDrejtor i shitjes për shtetet e Evropë Lindore c/o Kompania Peter Zimmer, Kufstein Austri
1977-1980 Drejtor komercial i Interplastica Project Engineeringin Morbio Inf.Zvicër
1980-1990 Drejtor komercial i Interplastica Project Engineeringin Morbio Inf.Zvicër
1990 Themelues, President dhe pronar i Mabetex Project Engineering, Lugano Zvicërr, që përfshin:
-	CRS - Credito per lo sviluppo e ristrutturazione, Lugano, Zvicër
-	Mabco Construction, Lugano, Zvicër
-	Swiss Diamond Hotel Management, Bermuda
-	Corporation Interfin Finance, Londër, MB
-	Mabetex International (e vendosur në 18 shtete të botës)
-	Kompania e sigurimeve Siguria, Prishtinë, Kosovë
-	Banka Ekonomike, Prishtinë, Kosovë (akcionari kryesor)
-	Saranda Properties, Sinetempore Internatinal, Diamond Fashion, Diamond Travel Agency
-	Nuova Bernasconi – Lugano, Switzerland
Angazhimi dhe aktiviteti politik,
Promotor dhe themelues: 
1999FORK – Fondi për rindërtimin e Kosovës, Prishtinë, Kosovë
2000 Themelues i Unionit të Biznesmenëve Shqiptar (UBSh), Lugano, Zvicër
2004Themelues i SEED, Fondacioni për Zhvillimin Ekonomik të Evropës Juglindore, Uashington (Fondacioni për promovimin dhe lobimin për pavarësinë e Kosovës)
2005 Themelues i organizatës Aleanca Kosova e Re, Uashington, D.C. (organizatë lobuese për pavarësinë e Kosovës, 2005-2007)
2006 Themelues dhe Kryetar i Partisë Politike Aleanca Kosova e Re, AKR (një parti politike që në zgjedhjet e para të vitit 2007 u rendit si partia e tretë në vend); Anëtar i Qendrës për Studime Ndërkombëtare dhe Strategjike CSIS Uashington, Këshilltar i Komitetit të kryesuar nga Henry Kissinger 2006-2010
2007-2010 Deputet i Kuvendit të Republikës së Kosovës
2011 Deputet i Kuvendit të Republikës së Kosovës (mandati i dytë)
2011 President i Republikës së Kosovës
2012-2014 Zëvendëskryeministri i parë i Republikës së Kosovës
Mirënjohjet: 
Dekoratat e TMK-së
Çmime dhe tituj nderi nga Rochester Institute of Technology
Dekorata nga Universiteti Amerikan i Kosovës (AUK)
Dekorime të Larta nga Presidenti i Perusë
Dekorimi më i lartë i Presidentit të Federatës Ruse, “Çmimi i Shtetit për Art dhe Arkitekturë”
Qytetar nderi i Astanas, Kryeqyteti i Republikës së Kazakistanit
Ambasador i Paqes nga Federata Universale e Paqes
Kalorërs Global i Paqes i Mijëvjeçarit, shpërblim nga Centro Internazionale per la Pace fra i Popoli
Mirënjohje nga “Nelson Mandela Foundation”
Mirënjohje nga “Clinton Global Initiative Foundation”
Qytetar nderi i qytetit të Lezhës , Shqipëri
Titulli Doktor Honoris Causa nga Universiteti Europian i Tiranës, Shqipëri
Nga Kryetari i Bashkisë, i nderuar me “Çelësi i Tiranës”, Shqipëri
2011 Qytetar Nderi i Korçës, Shqipëri
2011 Laureat i “Gusi Peace Prize International” , Manila, Filipine
2012 Titull Nderi “Kryetari i kryetarëve të Bashkive” , nga kryetari i bashkisë së Baton Rouge, Luiziana, SHBA
“Çelësi i qytetit" të New Orleans, Luiziana, SHBA
2012 Medaljen e Nderit të Kancelarit të Kolegjit Komunitar në Baton Rouge, Luiziana
2014 I nderuar me çmimin special të Lidershipit nga Universiteti Ndërkombëtar POLIS,për kontributin në zhvillimin politik, paqeruajtjen politike në Kosovë, për idetë në krijimin e Lëvizjes për Unionin Ekonomik Shqiptar si dhe kontributin humanitar
2015 I nderuar me dekoratën më të lartë të shtetit shqiptar “Nderi i Kombit”, çmim i japur nga Presidenti i Shqipërisë, Sh.T.Z. Bujar Nishani
2015 Mirënjohje nga qyteti i Tiranës, dhënë nga Kryetari i Bashkisë së Tiranës
Gjuhët: 
Gjuha amtare: Shqipja
Gjuhët e huaja: Anglisht, Frëngjisht, Gjermanisht, Italisht, Rusisht, Spanjollisht, Serbo-Kroatisht, etj.
Publikimet: 
Botime të ndryshme nga sfera socio-ekonomike, politike dhe kulturore
Themelues dhe botues i revistës “Albanica” &amp; “Lajm”
2010 Autori i librit autobiografik "Nga një sfidë në tjetrën", jeta e Behgjet Pacollit "
2014 Autori i përmbledhjes së referencave dhe studimeve në fushën ekonomike shqiptare, “Bashkimi fillon nga ekonomia”
2014 Autori i librit dokumentar “Lobimi për Kosovën” i cili është përmbledhje e dokumenteve, artikujve, përvojave dhe komenteve rreth lobimit për njohjen e Kosovës
2017 “15 Rregullat e Suksesit sipas Behgjet Pacollit”
Aktivitetet e tjera humanitare: 
2004 Ndërmjetësimi për lirimin e pengjeve në Afganistan (pas tre javëve ai arriti me sukses të lëshojë tre pengje, punonjës të OKB-së, Shqipe Hebibi, Annete Flaninghan dhe Angelito Nayan)
2006 Ndërmjetësimi për lirimin e gazetarit italian Gabrielle Torsello, i marrë peng në Afganistan
2007 Kontributi për lirimin e 23 pengjeve koreane në Afganistan
2012 Ndërmjetësimi për lirimin e James Berisha, i cili u mor peng në Eritrea;
Sponsor kryesor i “Fondacionit Aleksandër Moisiu”
Themelues i Fondacionit dhe Jetimores “Bambini Di Sakha”
1999 Me Fondacionin “Insieme per la pace” ndërhyn masivisht për të ofruar ndihmë për refugjatët nga Kosova dhe spitalet e Kosovës
Themelues i “Fondacionit Ibrahim Kodra”, Lugano, Zvicër
2000 – 2017 (në vazhdim) Themelues i “Fondacionit Behgjet Pacolli”, një fondacion i cili ka mbështetur shumë kauza, si bursa për studentë, asistencë sociale për njerëzit në nevojë, ndërtimin e shtëpive për të varfërit, sponsor i sportit dhe kulturës dhe mbështetje e vazhdueshme për dërgimin e dhjetëra pacientëve të Kosovës jashtë vendit për trajtim mjekësor. Kontributet e tjera të fondacionit përfshijnë:
Themelues dhe Sponsor i Spitalit për strehimin dhe kujdesin e fëmijëve të braktisur në Yakutskt, Republika e Sakha
Mbështetje për ngritjen e infrastrukturës së TMK-së në Prishtinë dhe kontribut për pajisjet profesionale të saj
Ndërtimi i një Qendre Përkujtimore në Penuhë, Podujevë, Kosovë
Donator i gjithë infrastrukturës dhe ndërtesave të Universitetit Amerikan në Kosovë (AUK)
Restaurimi i plotë i Xhamisë së Llapit në Prishtinë (një objekt i trashëgimisë kulturore të Kosovës)
Financimi dhe ndërtimi i zgjerimit të Universitetit Filozofik të Prishtinës, Kosovë</t>
  </si>
  <si>
    <t>https://www.facebook.com/behgjeti/</t>
  </si>
  <si>
    <t>https://www.facebook.com/BotswanaGovernment/</t>
  </si>
  <si>
    <t>Avenue du Burkina, Ministère des Affaires Etrangères, de la Coopération et des Burkinabè de l'Exterieur, Ouagadougou, Burkina Faso 03 BP 7038 Ouaga</t>
  </si>
  <si>
    <t>https://www.facebook.com/cdajoaolourenco/</t>
  </si>
  <si>
    <t>Av Ho Chi Minh, 34, Luanda, Angola</t>
  </si>
  <si>
    <t>00 32 2 501 02 11</t>
  </si>
  <si>
    <t xml:space="preserve">Page Officielle de la Présidence de la République de Madagascar - Palais de Iavoloha
Pejy Ofisialy - Fiadidiana ny Repoblikan'i Madagasikara - Lapan'i Iavoloha </t>
  </si>
  <si>
    <t>Alameda Doctor Manuel Enrique Araujo No 5500, San Salvador, EL Salvador</t>
  </si>
  <si>
    <t>Public Service</t>
  </si>
  <si>
    <t>**Our Facebook moderation policy**
We want this page to be an open forum for exchanging and debating ideas, and we welcome your comments. You are kindly requested to follow the usual rules of politeness and behaviour.
We do not edit your comments.
We do however reserve the right to hide and/or to delete comments if necessary, and in particular comments that :
-          Are racist or xenophobic, abusive, obscene or indecent
-          Are insulting to other users or third parties, to organisations (including the ministry) or the admins
-          Contain swearwords or bad language
-          Have no bearing on the ongoing discussion or on the subject matter of the relevant post
-          Seek to promote or to advertise a product, event or service which has no relevance to the subject under discussion (spam)
We also reserve the right, where necessary, to alert Facebook or the relevant judicial authorities regarding comments that in our view do not comply with Facebook policies or with the law.
Furthermore, to protect personal data, we may delete comments about specific consular or visa cases, as there are more appropriate avenues of contact for those.
We cannot commit to answering all comments.
We may update this moderation policy without prior notice.</t>
  </si>
  <si>
    <t>Le ministère intervient, à plusieurs titres, dans la conduite de nos relations avec les États étrangers et de la protection des Français à l'étranger. Trouvez l'ensemble de nos missions sur notre site http://www.diplomatie.gouv.fr.
**Politique de modération des commentaires**
Nous souhaitons que cette page soit un espace de dialogue et nous sommes heureux de recevoir vos commentaires. Dans cette optique, nous demandons à nos utilisateurs d’adhérer aux règles habituelles de politesse et de bienséance.
Nous n’éditons pas vos commentaires. Nous nous réservons néanmoins le droit de cacher et/ou de supprimer les commentaires si nécessaire, et en particulier :
-          les commentaires à caractère raciste, xénophobe, abusif ou obscène 
-          les commentaires insultants ou potentiellement diffamatoires envers d’autres utilisateurs ou d’autres personnes, ainsi qu’envers des organisations (dont le ministère) ou l’administrateur de la page
-          les commentaires contenant des vulgarités (pas de gros mots !)
-          les commentaires sans lien aucun avec la discussion en cours ou la publication en question
-          les commentaires cherchant à promouvoir un produit, un évènement ou un service sans lien avec la discussion (spams).
Nous nous réservons aussi le droit de signaler aux autorités compétentes (Facebook ou autorités judiciaires) les commentaires le nécessitant.
Par ailleurs, dans un souci de confidentialité, nous pourrons supprimer certains commentaires faisant état de cas particuliers (notamment les demandes de visas ou d’assistance consulaire) pour lesquelles il existe des moyens appropriés de faire remonter une information.
Nous ne pouvons pas prendre l’engagement de répondre aux commentaires.
Nous pouvons être amenés à mettre à jour cette politique de modération sans préavis.</t>
  </si>
  <si>
    <t>Επίσημος λογαριασμός ενημέρωσης για το έργο &amp; τη δραστηριότητα της Κυβέρνησης της Ελληνικής Δημοκρατίας.</t>
  </si>
  <si>
    <t>Πρωθυπουργός
Αλέξης Τσίπρας
Αντιπρόεδρος της Κυβέρνησης
Γιάννης Δραγασάκης
Υπουργείο Εσωτερικών
Υπουργός Πάνος Σκουρλέτης
Αναπληρωτής Υπουργός αρμόδιος για την Προστασία του Πολίτη Νίκος Τόσκας
Υφυπουργός αρμόδια για τη Μακεδονία και τη Θράκη Μαρία Κόλλια-Τσαρουχά
Υπουργείο Οικονομίας και Ανάπτυξης
Υπουργός Δημήτρης Παπαδημητρίου
Αναπληρωτής Υπουργός αρμόδιος για το ΕΣΠΑ Αλέξης Χαρίτσης
Υφυπουργός αρμόδιος για τις Επενδύσεις Στέργιος Πιτσιόρλας
Υπουργείο Ψηφιακής Πολιτικής, Τηλεπικοινωνιών και Ενημέρωσης
Υπουργός Νίκος Παππάς
Υπουργείο Εθνικής Άμυνας
Υπουργός Πάνος Καμμένος
Αναπληρωτής Υπουργός αρμόδιος για την Αμυντική Βιομηχανία και τη Διοικητική Μέριμνα Δημήτρης Βίτσας
Υπουργείο Παιδείας, Έρευνας και Θρησκευμάτων
Υπουργός Κωνσταντίνος Γαβρόγλου
Αναπληρωτής Υπουργός αρμόδιος για την Έρευνα και την Τεχνολογία Κωνσταντίνος Φωτάκης
Υφυπουργός αρμόδιος για την Επαγγελματική Εκπαίδευση και τη Διά Βίου Μάθηση Δημήτρης Μπαξεβανάκης
Υφυπουργός αρμόδιος για την Ομογενειακή Εκπαίδευση Κωνσταντίνος Ζουράρις
Υπουργείο Εργασίας, Κοινωνικής Ασφάλισης και Κοινωνικής Αλληλεγγύης
Υπουργός Έφη Αχτσιόγλου
Αναπληρώτρια Υπουργός αρμόδια για την Καταπολέμηση της Ανεργίας Ράνια Αντωνοπούλου
Αναπληρώτρια Υπουργός αρμόδια για την Κοινωνική Αλληλεγγύη Θεανώ Φωτίου
Υφυπουργός αρμόδιος για την Κοινωνική Ασφάλιση Τάσος Πετρόπουλος
Υπουργείο Εξωτερικών
Υπουργός Νίκος Κοτζιάς
Αναπληρωτής Υπουργός αρμόδιος για Ευρωπαϊκές Υποθέσεις Γιώργος Κατρούγκαλος
Υφυπουργός αρμόδιος για την Πολιτιστική και Θρησκευτική Διπλωματία Γιάννης Αμανατίδης
Υφυπουργός αρμόδιος για τον Απόδημο Ελληνισμό Τέρενς Κουίκ
Υπουργείο Δικαιοσύνης, Διαφάνειας και Ανθρωπίνων Δικαιωμάτων
Υπουργός Σταύρος Κοντονής
Αναπληρωτής Υπουργός αρμόδιος για την Καταπολέμηση της Διαφθοράς Δημήτρης Παπαγγελόπουλος
Υπουργείο Οικονομικών
Υπουργός Ευκλείδης Τσακαλώτος
Αναπληρωτής Υπουργός αρμόδιος για τη Δημοσιονομική Πολιτική Γιώργος Χουλιαράκης
Υφυπουργός αρμόδια για τη Δημόσια Περιουσία Κατερίνα Παπανάτσιου
Υπουργείο Υγείας
Υπουργός Ανδρέας Ξανθός
Αναπληρωτής Υπουργός Παύλος Πολάκης
Υπουργείο Διοικητικής Ανασυγκρότησης
Υπουργός Όλγα Γεροβασίλη
Υπουργείο Πολιτισμού και Αθλητισμού
Υπουργός Λυδία Κονιόρδου
Υφυπουργός αρμόδιος για τον Αθλητισμό Γιώργος Βασιλειάδης
Υπουργείο Περιβάλλοντος και Ενέργειας
Υπουργός Γιώργος Σταθάκης
Αναπληρωτής Υπουργός αρμόδιος για το Περιβάλλον Σωκράτης Φάμελος
Υπουργείο Υποδομών και Μεταφορών
Υπουργός Χρήστος Σπίρτζης
Υφυπουργός αρμόδιος για τις Μεταφορές και Συγκοινωνίες Νίκος Μαυραγάνης
Υπουργείο Μεταναστευτικής Πολιτικής
Υπουργός Γιάννης Μουζάλας
Υφυπουργός Γιάννης Μπαλάφας
Υπουργείο Ναυτιλίας και Νησιωτικής Πολιτικής
Υπουργός Παναγιώτης Κουρουμπλής
Υφυπουργός αρμόδιος για τη Νησιωτική Πολιτική Νεκτάριος Σαντορινιός
Υπουργείο Αγροτικής Ανάπτυξης και Τροφίμων
Υπουργός Βαγγέλης Αποστόλου
Αναπληρωτής Υπουργός Γιάννης Τσιρώνης
Υφυπουργός Βασίλης Κόκκαλης
Υπουργείο Τουρισμού
Υπουργός Έλενα Κουντουρά
Υπουργός Επικρατείας αρμόδιος για θέματα Καθημερινότητας του Πολίτη
Αλέξανδρος Φλαμπουράρης
Υπουργός Επικρατείας αρμόδιος για τον Συντονισμό του Κυβερνητικού Έργου
Χριστόφορος Βερναρδάκης
Υπουργός Επικρατείας και Κυβερνητικός Εκπρόσωπος
Δημήτρης Τζανακόπουλος
Υφυπουργός παρά τω Πρωθυπουργώ
Δημήτρης Λιάκος</t>
  </si>
  <si>
    <t>19, Irodou Attikou st, 10674 Athens, Greece</t>
  </si>
  <si>
    <t>Palatul Victoria, Piaţa Victoriei nr. 1, Sector 1, 011791 Bucharest, Romania</t>
  </si>
  <si>
    <t>www.istana.gov.sg</t>
  </si>
  <si>
    <t>Halimah Yacob
Welcome to my page
Published by Halimah Yacob</t>
  </si>
  <si>
    <t>https://www.facebook.com/halimahyacob/</t>
  </si>
  <si>
    <t>I was born on 23 August 1954, at our family home at Queen Street.
The youngest of five children, I grew up at Hindoo Road and Selegie House. I have many fond memories of friendly neighbours of all races.
I lost my father, when I was only eight. He was a watchman, and fought illness for many years. Despite that, he worked very hard to provide for the family till the very end. After his death, my mum became the breadwinner and worked very hard to provide for the family. She worked at a food stall and was out by 4 am, and was not home until 10 pm every day. From the age of 10, my hours outside of school were spent being my mother's assistant: cleaning, washing, clearing tables and serving customers, and I am a better person for it. I have experienced poverty first-hand and know how debilitating it can be as you struggle to survive, to put food on the table and also grapple with the uncertainty of the future on a daily basis. It limits your choices but also tempers your determination to succeed. My priority then was to finish school, get a job and support my mother.
I went to Singapore Chinese Girls' School. I was one of the few Malay girls there. In fact, in the years before I joined, the school was semi-private and was not open to minority children. Thereafter, I did my Pre-U at Tanjong Katong Girls' School. I then had the choice to either enter Teachers' Training College and train to be a teacher, or to study law at the University of Singapore. After careful consideration, I picked the latter. It was to be a fateful decision.
It was at the University that I met my university sweetheart, Mohamed Abdullah. He was a Physics major who liked music and performed in a three-piece band with his university friends at university events. We met at the University of Singapore Muslim Society's events where we were both active. We got married in June 1980 and have five children. We shared our responsibilities, and Mohamed remains my strong pillar of support.
After graduation, I joined the NTUC. That was in 1978, and I spent more than three decades of my life as a trade unionist. I was grateful that the labour movement provided me with my entry into public service. I rose to become the Deputy Secretary General of the NTUC and also held various posts such as Director of the Singapore Institute of Labour Studies, Director of Legal Services and Women's Development, and also served four terms as the Deputy Member of the Geneva-based International Labour Organisation. I'm proud to say that my colleagues and I worked very hard to serve our workers well.
I learnt the importance of building trust. If there is mutual trust, and the union leaders know that you are acting in the best interest of the workers, they will support you.
The same applies in politics. You need to secure the confidence of the people you serve. If they trust you, they know that you are not there for personal reasons.
Then Prime Minister, Mr Goh Chok Tong, called me prior to the 2001 General Elections to stand as a candidate persuading me that I could play a bigger role if elected into Parliament. Thus in 2001, I entered politics.
Became a Minister of State in 2011, and became the first woman to be elected the Speaker of the House in 2013. Even after becoming Speaker, I continued with my ground engagements and was made the advisor of the National Council of Social Services. I also continued to teach labour laws to trade unionists at the Ong Teng Cheong Institute.
I have decided to stand as a candidate for the Elected Presidency to serve Singapore and our people. It was a decision taken after very careful deliberation and after consulting with my family, colleagues and close friends. I am grateful for their support and encouragement.
I am also grateful to the many Singaporeans who have expressed their support for my candidacy when I met them or through emails, SMSes and Facebook. Many have also said that they will pray for me. The EP is a heavy responsibility and apart from its constitutional functions, plays an important role in setting the tone for our society. From President Yusof Ishak's strong imprint of a multi-racial society critical during Singapore's formative years to President Ong Teng Cheong's uplifting of the arts and culture and President SR Nathan's establishment of the President's Challenge, continued by President Tony Tan, to support our needy. They have all shaped and influenced our society for the better. I hope to build upon their good work. Having come from a deprived and disadvantaged background, I strongly believe in access to opportunities for everyone.
I call upon Singaporeans to work together to build a better and stronger society.
Let's focus on our shared core values, not our differences.
There is much good that we can do especially if we do them together.
Let's do good and do it together.</t>
  </si>
  <si>
    <t>http://www.sheikhmohammed.co.ae</t>
  </si>
  <si>
    <t>Canciller de la República de El Salvador, exdiputado, exsubjefe de la bancada del FMLN y ex secretario general del SICA.</t>
  </si>
  <si>
    <t>https://www.facebook.com/HugoMartinezSV/</t>
  </si>
  <si>
    <t>Frente Farabundo Martí para la Liberación Nacional (FMLN)</t>
  </si>
  <si>
    <t>Ignazio-Cassis-486301424808499</t>
  </si>
  <si>
    <t>https://www.facebook.com/IsabelStMalo/</t>
  </si>
  <si>
    <t>http://blog.jaarreaza.org.ve/</t>
  </si>
  <si>
    <t>Militante Socialista-Chavista-Bolivariano. ¡Patriota! Ministro del Poder Popular para Relaciones Exteriores</t>
  </si>
  <si>
    <t>https://www.facebook.com/jaarreaza.ve/</t>
  </si>
  <si>
    <t>Casa Amarilla, Caracas</t>
  </si>
  <si>
    <t>Federal Minister for Water, Power &amp; Defence- Government of Pakistan. MNA from Sialkot (NA-110) | Pakistan Muslim League (N)
Twitter: @KhawajaMAsif</t>
  </si>
  <si>
    <t>https://www.facebook.com/khawaja.asif.official/</t>
  </si>
  <si>
    <t>Sialkot, Punjab</t>
  </si>
  <si>
    <t>137, Seoubinggo-ro, Yongsan-gu, Seoul, Korea 140-797</t>
  </si>
  <si>
    <t>https://www.facebook.com/mfarighana/</t>
  </si>
  <si>
    <t>Ministry of Foreign Affairs, 60, Sajik-ro 8-gil, Jongno-gu, Seoul, Republic of Korea, Seoul, Korea 110-787</t>
  </si>
  <si>
    <t>종로구 사직로 8길 60, Seoul, Korea 110-787</t>
  </si>
  <si>
    <t>Alameda Dr. Manuel Enrique Araujo, No. 5500., 550 San Salvador, EL Salvador</t>
  </si>
  <si>
    <t>5, Avenue Roi Baudouin, Gombe, 00000 Kinshasa, Congo</t>
  </si>
  <si>
    <t>https://ramushharadinaj.com/</t>
  </si>
  <si>
    <t>Ramush Haradinaj - Kryeministër i Republikës së Kosovës dhe Kryetar  i AAK
Prime Minister of the Rebulic of Kosova and Chairman of the AAK</t>
  </si>
  <si>
    <t>https://www.facebook.com/RamushHaradinajOfficial/</t>
  </si>
  <si>
    <t>AAK</t>
  </si>
  <si>
    <t>Faqja personale e Ramush Haradinajt, Kryetar i Aleancës për Ardhmërinë  e Kosovës (AAK). Postimet me inicialet ‘RH’  jane personale.
Personal page of Ramush Haradinaj, President of the Alliance for the Future of Kosova (AAK). Posts with initials ‘RH’ are personal ones.</t>
  </si>
  <si>
    <t>Bulevardi "Dëshmorët e Kombit" p.n., 10000 Pristina</t>
  </si>
  <si>
    <t xml:space="preserve"> 00378 0549 882302</t>
  </si>
  <si>
    <t>Contrada Omerelli, 31, 47890 San Marino, San Marino</t>
  </si>
  <si>
    <t>San Salvador, EL Salvador</t>
  </si>
  <si>
    <t>https://www.statehouse.mw</t>
  </si>
  <si>
    <t>Lilongwe, Lilongwe, Malawi</t>
  </si>
  <si>
    <t>https://www.facebook.com/ThaigovSpokesman/</t>
  </si>
  <si>
    <t>https://www.tccb.gov.tr/en/</t>
  </si>
  <si>
    <t>Official Facebook Account of the Presidency of the Republic of Turkey</t>
  </si>
  <si>
    <t>+90 312 525 55 55</t>
  </si>
  <si>
    <t>Cumhurbaşkanlığı Külliyesi 06560 Beştepe-Ankara TURKEY</t>
  </si>
  <si>
    <t>Η προσωπική σελίδα του Αλέξη Τσίπρα, Προέδρου του ΣΥΡΙΖΑ και Πρωθυπουργού. I Official page of Alexis Tsipras, Prime Minister of Greece and President of SYRIZA</t>
  </si>
  <si>
    <t>Clement Hill Road, 2665 Kampala, Uganda</t>
  </si>
  <si>
    <r>
      <t>Facebook</t>
    </r>
    <r>
      <rPr>
        <sz val="12"/>
        <color rgb="FF000000"/>
        <rFont val="Calibri"/>
        <family val="2"/>
      </rPr>
      <t xml:space="preserve"> (Burson Tools)</t>
    </r>
  </si>
  <si>
    <t>jacindaardern</t>
  </si>
  <si>
    <t>Prime Minister Katrín Jakobsdóttir</t>
  </si>
  <si>
    <t xml:space="preserve">https://facebook.com/VGKatrinJakobsdottir  </t>
  </si>
  <si>
    <t>https://facebook.com/ukhurelsukh/</t>
  </si>
  <si>
    <t>Prime Minister Ukhnaagiin Khürelsükh</t>
  </si>
  <si>
    <t>https://facebook.com/tsogtbaatar.damdin</t>
  </si>
  <si>
    <t>Foreign Minister Kono Taro</t>
  </si>
  <si>
    <t>https://facebook.com/%E6%B2%B3%E9%87%8E%E5%A4%AA%E9%83%8E-168727046514485/</t>
  </si>
  <si>
    <t>https://facebook.com/pm.gov.dz</t>
  </si>
  <si>
    <t>https://facebook.com/ineeriksensoreide</t>
  </si>
  <si>
    <t>Foreign Minister Ine Eriksen Søreide</t>
  </si>
  <si>
    <t>Prime Minister Mateusz Morawiecki</t>
  </si>
  <si>
    <t>President Alain Berset</t>
  </si>
  <si>
    <t>https://facebook.com/BersetAlain</t>
  </si>
  <si>
    <t>https://facebook.com/jacindaardern</t>
  </si>
  <si>
    <t>winstonpeters</t>
  </si>
  <si>
    <t>Foreign Minister Winston Peters</t>
  </si>
  <si>
    <t>Prime Minister Jacinda Ardern</t>
  </si>
  <si>
    <t>https://facebook.com/winstonpeters</t>
  </si>
  <si>
    <t>President George Weah</t>
  </si>
  <si>
    <t>Foreign Minister María Fernanda Espinosa</t>
  </si>
  <si>
    <t>https://facebook.com/mfespinosaEC</t>
  </si>
  <si>
    <t>President Sebastian Piñera</t>
  </si>
  <si>
    <t>https://facebook.com/spinera</t>
  </si>
  <si>
    <t>https://facebook.com/gweah</t>
  </si>
  <si>
    <t>Chancellor Sebastian Kurz</t>
  </si>
  <si>
    <t>Alain Berset</t>
  </si>
  <si>
    <t>BersetAlain</t>
  </si>
  <si>
    <t>http://www.facebook.com/407144292661516</t>
  </si>
  <si>
    <t>cancilleriapma</t>
  </si>
  <si>
    <t>CancilleriaVE</t>
  </si>
  <si>
    <t>George Weah</t>
  </si>
  <si>
    <t>gweah</t>
  </si>
  <si>
    <t>http://www.facebook.com/227044367457165</t>
  </si>
  <si>
    <t>ilirmetaj</t>
  </si>
  <si>
    <t>Ine Eriksen Søreide</t>
  </si>
  <si>
    <t>ineeriksensoreide</t>
  </si>
  <si>
    <t>http://www.facebook.com/249622108800401</t>
  </si>
  <si>
    <t>Jacinda Ardern</t>
  </si>
  <si>
    <t>http://www.facebook.com/45300632440</t>
  </si>
  <si>
    <t>Katrín Jakobsdóttir</t>
  </si>
  <si>
    <t>VGKatrinJakobsdottir</t>
  </si>
  <si>
    <t>http://www.facebook.com/241503652726</t>
  </si>
  <si>
    <t>María Fernanda Espinosa</t>
  </si>
  <si>
    <t>mfespinosaEC</t>
  </si>
  <si>
    <t>http://www.facebook.com/1250808235045410</t>
  </si>
  <si>
    <t>MAEGEGN</t>
  </si>
  <si>
    <t>Planalto</t>
  </si>
  <si>
    <t>PMO Bhutan</t>
  </si>
  <si>
    <t>PJugnauth</t>
  </si>
  <si>
    <t>Premier Mateusz Morawiecki</t>
  </si>
  <si>
    <t>Premier Ministère -Algérie الوزارة اﻷولى الجزائرية</t>
  </si>
  <si>
    <t>pm.gov.dz</t>
  </si>
  <si>
    <t>http://www.facebook.com/175532726324106</t>
  </si>
  <si>
    <t>pcoogov</t>
  </si>
  <si>
    <t>Prime Ministry of Jordan رئاسة الوزراء - الأردن</t>
  </si>
  <si>
    <t>RaviKarunanayakeofficial</t>
  </si>
  <si>
    <t>Sebastián Piñera</t>
  </si>
  <si>
    <t>spinera</t>
  </si>
  <si>
    <t>http://www.facebook.com/553775568008058</t>
  </si>
  <si>
    <t>Tsogtbaatar Damdin - Дамдины Цогтбаатар</t>
  </si>
  <si>
    <t>tsogtbaatar.damdin</t>
  </si>
  <si>
    <t>http://www.facebook.com/289340627785693</t>
  </si>
  <si>
    <t>Winston Peters</t>
  </si>
  <si>
    <t>http://www.facebook.com/155656867793782</t>
  </si>
  <si>
    <t>Ухнаагийн Хүрэлсүх</t>
  </si>
  <si>
    <t>ukhurelsukh</t>
  </si>
  <si>
    <t>http://www.facebook.com/133212600719841</t>
  </si>
  <si>
    <t>الرئيس محمود عباس - President Mahmoud Abbas</t>
  </si>
  <si>
    <t>河野太郎</t>
  </si>
  <si>
    <t>http://www.facebook.com/168727046514485</t>
  </si>
  <si>
    <t>https://facebook.com/PMOBhutan</t>
  </si>
  <si>
    <t>https://facebook.com/palaciodoplanalto</t>
  </si>
  <si>
    <t>https://facebook.com/Premier-Mark-Brantley-107371062633538</t>
  </si>
  <si>
    <t>https://facebook.com/PM.Hailemariam</t>
  </si>
  <si>
    <t>PM.Hailemariam</t>
  </si>
  <si>
    <t>https://facebook.com/saotmn911</t>
  </si>
  <si>
    <t>saotmn911</t>
  </si>
  <si>
    <t>Saâdeddine El Othmani سعد الدين العثماني - الصفحة الرسمية</t>
  </si>
  <si>
    <t>Foreign Minister Damdin Tsogtbaatar</t>
  </si>
  <si>
    <t>Foreign Minister Tieman Coulibaly</t>
  </si>
  <si>
    <t>Prime Minister Soumeylou B. Maïga</t>
  </si>
  <si>
    <t>https://facebook.com/Soumeylou-Boubeye-Maiga-252932994776447/</t>
  </si>
  <si>
    <t>https://facebook.com/Tieman-Hubert-Coulibaly-THC-780940372005195</t>
  </si>
  <si>
    <t>Prime Minister Saadeddine Othmani</t>
  </si>
  <si>
    <t>https://facebook.com/maeciia1960</t>
  </si>
  <si>
    <t>https://facebook.com/AlbanianMEFA</t>
  </si>
  <si>
    <t>Ministère des Affaires Étrangères - Coop - Int</t>
  </si>
  <si>
    <t>maeciia1960</t>
  </si>
  <si>
    <t>http://www.facebook.com/188672298178431</t>
  </si>
  <si>
    <t>http://www.facebook.com/214200989058768</t>
  </si>
  <si>
    <t>http://www.facebook.com/248098908609302</t>
  </si>
  <si>
    <t>Swedish Ministry for Foreign Affairs</t>
  </si>
  <si>
    <t>Rwanda Ministry of Foreign Affairs, Cooperation and East African Community</t>
  </si>
  <si>
    <t>http://www.facebook.com/651051055001409</t>
  </si>
  <si>
    <t>Tieman Hubert Coulibaly - THC</t>
  </si>
  <si>
    <t>http://www.facebook.com/780940372005195</t>
  </si>
  <si>
    <t>gouvernement.lu</t>
  </si>
  <si>
    <t>وزارة الخارجية والمغتربين الفلسطينية</t>
  </si>
  <si>
    <t>Foreign Minister Marcel Amon-Tanoh</t>
  </si>
  <si>
    <t>Foreign Minister Tudor Ulianovschi</t>
  </si>
  <si>
    <t>Prime Minister Clement Mouamba</t>
  </si>
  <si>
    <t>https://facebook.com/MouambaClement</t>
  </si>
  <si>
    <t>https://facebook.com/MarcelAmonTanoh</t>
  </si>
  <si>
    <t>https://facebook.com/diplomatie.gouv.ci</t>
  </si>
  <si>
    <t>https://facebook.com/diplomatie.gov.mg</t>
  </si>
  <si>
    <t>President Emmerson Dambudzo Mnangagwa</t>
  </si>
  <si>
    <t>https://facebook.com/Emmerson-Dambudzo-Mnangagwa-709844565772844</t>
  </si>
  <si>
    <t>https://facebook.com/statehousemauritius</t>
  </si>
  <si>
    <t>https://facebook.com/TudorUlianovschi</t>
  </si>
  <si>
    <t>https://facebook.com/MNEdePortugal</t>
  </si>
  <si>
    <t>www.konotaro.org
www.taro.org</t>
  </si>
  <si>
    <t>衆議院議員　湘南国際マラソン実行委員長　湘南ベルマーレ元代表取締役　河野太郎のページです。
連絡先:
http://www.taro.org/contact/</t>
  </si>
  <si>
    <t>https://www.facebook.com/河野太郎-168727046514485/</t>
  </si>
  <si>
    <t>2-1-2-1103 Nagata-cho, Chiyoda, Chiyoda-ku, Tokyo, Japan</t>
  </si>
  <si>
    <t>[{'id': '161422927240513', 'name': 'Government Organization'}]</t>
  </si>
  <si>
    <t>{'city': 'Seoul', 'country': 'South Korea'}</t>
  </si>
  <si>
    <t>2204 2239/2204 2297</t>
  </si>
  <si>
    <t>https://www.facebook.com/AlbanianMEFA/</t>
  </si>
  <si>
    <t>Bulevardi Gjergj Fishta, Nr. 6, 1000 Tirana, Albania</t>
  </si>
  <si>
    <t>{'city': 'Cairo', 'country': 'Egypt'}</t>
  </si>
  <si>
    <t>{'city': 'Poprad', 'country': 'Slovakia'}</t>
  </si>
  <si>
    <t>{'city': 'Kingston', 'country': 'Jamaica'}</t>
  </si>
  <si>
    <t>{'city': 'Berlin', 'country': 'Germany'}</t>
  </si>
  <si>
    <t>{'city': 'Georgetown', 'country': 'Guyana', 'street': 'Vlissengen Road, Bourda'}</t>
  </si>
  <si>
    <t>{'city': 'Kabul', 'country': 'Afghanistan'}</t>
  </si>
  <si>
    <t>{'city': 'Kabul', 'country': 'Afghanistan', 'street': 'Presidential Palace (ARG)'}</t>
  </si>
  <si>
    <t xml:space="preserve">Herzlich willkommen auf der Facebook-Seite des Auswärtigen Amts! 
Bitte beachten Sie unsere Netiquette: http://t1p.de/vvz3
Impressum und Datenschutzhinweise: http://t1p.de/jkm1
</t>
  </si>
  <si>
    <t xml:space="preserve">Werderscher Markt 1
10117 Berlin 
Deutschland
Bürgerservice: 030-18-17-2000
E-Mail: poststelle@auswaertiges-amt.de
Folgen Sie uns auf Twitter: 
@AuswaertigesAmt (Deutsch)
@GermanyDiplo (Englisch)
Folgen Sie uns auf Instagram:
www.instagram.com/auswaertigesamt 
Unsere Internetseite finden Sie hier: www.diplo.de </t>
  </si>
  <si>
    <t>{'city': 'Çankaya', 'country': 'Turkey', 'street': 'Başbakanlık Merkez Bina B Kapısı Zemin Kat   No:38'}</t>
  </si>
  <si>
    <t>[{'id': '161422927240513', 'name': 'Government Organization'}, {'id': '139386576124160', 'name': 'Public Service'}, {'id': '2612', 'name': 'Community'}]</t>
  </si>
  <si>
    <t>{'city': 'Pristina', 'country': 'Kosovo'}</t>
  </si>
  <si>
    <t>www.dfi.admin.ch</t>
  </si>
  <si>
    <t>Président de la Confédération, Chef du Département fédéral de l'Intérieur     -    Bundespräsident, Vorsteher Eidg. Departement des Innern www.dfi.admin.ch</t>
  </si>
  <si>
    <t>https://www.facebook.com/BersetAlain/</t>
  </si>
  <si>
    <t>This is the Official Facebook Page of the Government of Botswana
www.gov.bw   
https://twitter.com/BWGovernment 
https://www.instagram.com/bwgov
https://www.youtube.com/channel/UCGIsjvaIbQ9vknJI55U05WA/featured?view_as=subscriber</t>
  </si>
  <si>
    <t>[{'id': '161422927240513', 'name': 'Government Organization'}, {'id': '147714868971098', 'name': 'Public &amp; Government Service'}]</t>
  </si>
  <si>
    <t>{'city': 'Paramaribo', 'country': 'Suriname'}</t>
  </si>
  <si>
    <t>Bundeskanzleramt.gv.at</t>
  </si>
  <si>
    <t>Bundeskanzleramt Österreich</t>
  </si>
  <si>
    <t>www.bundeskanzleramt.gv.at</t>
  </si>
  <si>
    <t>Herzlich willkommen auf der offiziellen Facebook-Seite des Bundeskanzleramtes der Republik Österreich.</t>
  </si>
  <si>
    <t>[{'id': '1032965636792826', 'name': 'Government Building'}, {'id': '161422927240513', 'name': 'Government Organization'}]</t>
  </si>
  <si>
    <t>https://www.facebook.com/Bundeskanzleramt.gv.at/</t>
  </si>
  <si>
    <t xml:space="preserve">Herzlich Willkommen auf der offiziellen Facebook-Seite des Bundeskanzleramtes der Republik Österreich. Das Kanzleramt ist ein Haus mit 300-jähriger Geschichte. Seine Mitarbeiterinnen und Mitarbeiter leben aber im heute, sind für Sie da und wollen das hier auch zeigen. Wir freuen uns über Ihre Kommentare und Ideen. Wir setzen auf Ihr Vertrauen und gehen damit sorgsam um. Service für Sie und Kommunikation auf Augenhöhe ist oberstes Ziel auf dieser Seite. Dieses wollen wir mit hoffentlich überraschenden Einblicken in unsere Arbeit, die Geschichte und den Alltag im Bundeskanzleramt anreichern. 
Sie dürfen von uns Antworten auf Ihre Fragen erwarten: Manchmal werden wir sie nicht gleich aus dem Ärmel schütteln können. Manchmal werden wir Antworten zusammenfassen, wenn mehrere User dasselbe Thema ansprechen. Und manchmal werden wir an kompetente Stellen verweisen – denn nicht für alles ist das Bundeskanzleramt zuständig. Dafür bitten wir um Verständnis. 
Vor allem haben wir eine Bitte: Wählen Sie eine angemessene Ausdrucksweise und respektieren Sie die Meinungen anderer. Wir wollen nur in Ausnahmefällen eingreifen müssen, um andere Nutzerinnen und Nutzer zu schützen – und persönlich beschimpfen oder gar bedrohen lassen wollen wir uns auch nicht. Das Redaktionsteam behält sich daher vor, anstößige, illegale, diskriminierende, diffamierende, unangemessene oder verletzende Kommentare zu löschen und im Wiederholungsfall User zu sperren. Ebenfalls löschen bzw. sperren wir offensichtliche Provokationen, Fake-Accounts und Werbung.
Wir bemühen uns immer um größte Sorgfalt bei der Veröffentlichung von Inhalten. Aber auch uns werden mal Fehler unterlaufen. Darum können wir nicht uneingeschränkt für die Vollständigkeit, Richtigkeit und Aktualität der Inhalte garantieren. Sollte Ihnen einmal ein Fehler auffallen, so entschuldigen wir uns schon jetzt dafür und würden uns sehr freuen, wenn Sie uns darauf aufmerksam machen. 
Bitte beachten Sie beim Verfassen Ihrer Kommentare und Fragen zudem auch die "Nutzungsbedingungen" von Facebook.
Rechtliche Informationen
▫ Wir bitten um Verständnis, dass Informationen, die wir über diese Seite veröffentlichen keine Rechtsverbindlichkeit im Sinne einer amtlichen Behördenauskunft besitzen. 
▫ Die geposteten Kommentare stellen die Ansichten der jeweiligen User dar. Sie liegen in deren Verantwortung und nicht in jener des Bundeskanzleramtes.
▫ Das Bundeskanzleramt übernimmt keine Verantwortung für die Persönlichkeitsrechte (Privatsphäre, Recht auf persönliches Bild, etc.) oder die Rechte an geistigem Eigentum für durch User hochgeladene Inhalte.
Bildnachweise
▫ wo nicht explizit angegeben: ©Bundeskanzleramt
Vielen Dank für Ihr Interesse!  
Das Redaktionsteam von Bundeskanzleramt.gv.at auf Facebook
</t>
  </si>
  <si>
    <t>Amtssitz des Bundeskanzlers der Republik Österreich sowie Fachministerium für die Koordination der allgemeinen Regierungspolitik, die Informationstätigkeit der Bundesregierung und die staatliche Verfassung.</t>
  </si>
  <si>
    <t>+43 (0)1 53115-0</t>
  </si>
  <si>
    <t>Ballhausplatz 2, 1010 Vienna, Austria</t>
  </si>
  <si>
    <t>[{'id': '147714868971098', 'name': 'Public &amp; Government Service'}, {'id': '161422927240513', 'name': 'Government Organization'}]</t>
  </si>
  <si>
    <t>Ministère des Affaires Etrangères et de la Coopération - MAEC</t>
  </si>
  <si>
    <t xml:space="preserve">+226 25 31 80 17 </t>
  </si>
  <si>
    <t>[{'id': '161422927240513', 'name': 'Government Organization'}, {'id': '1874409019452971', 'name': 'Locality'}]</t>
  </si>
  <si>
    <t>[{'id': '1500', 'name': 'Interest'}, {'id': '161422927240513', 'name': 'Government Organization'}]</t>
  </si>
  <si>
    <t>[{'id': '161422927240513', 'name': 'Government Organization'}, {'id': '214297118585256', 'name': 'Consulate &amp; Embassy'}]</t>
  </si>
  <si>
    <t>[{'id': '161422927240513', 'name': 'Government Organization'}, {'id': '373543049350668', 'name': 'Political Organization'}, {'id': '115725465228008', 'name': 'Region'}]</t>
  </si>
  <si>
    <t>Página Oficial de João Lourenço, PRESIDENTE DA REPÚBLICA DE ANGOLA</t>
  </si>
  <si>
    <t>{'city': 'Luanda', 'country': 'Angola', 'street': 'Av Ho Chi Minh, 34'}</t>
  </si>
  <si>
    <t>[{'id': '1602', 'name': 'Public Figure'}]</t>
  </si>
  <si>
    <t xml:space="preserve">Charte d'utilisation de la page Facebook du Premier ministre, Charles Michel 
L'animation de la page Facebook est effectuée par l’équipe web du Premier ministre.
Le mur et les discussions de la page Facebook du Premier ministre, Charles Michel (page officielle) sont ouverts à tous. Tout le monde est invité à y participer, à condition de respecter certaines règles élémentaires de courtoisie.
Cela inclut, de façon non exhaustive : 
1. Les attaques ou insinuations fondées sur les races, les croyances ou leur absence, les origines ethniques, le sexe ou l'orientation sexuelle ; 
2. Les messages provenant de comptes non identifiables ;  
3. Les insultes, harcèlements, affirmations graves non-prouvées ou notoirement inexactes concernant les personnes ou les organisations ; 
4. Tout message obscène, pornographique ou relevant du harcèlement ; 
5. Tout message contraire aux droits d’auteur ou aux droits voisins, au droit applicable aux bases de données, au droit à l’image et au respect de la vie privée, ou qui enfreindrait toute autre disposition législative ou réglementaire en vigueur ; 
6. Toute attaque personnelle à l'égard de femmes et d'hommes politiques ; 
7. Les invectives ad hominem (propos agressifs, méprisants, péremptoires) ou, de façon générale, tout propos attentatoires aux participants ; 
8. Toute utilisation du site à des fins publicitaires ou commerciales ; 
9. Les mentions de coordonnées personnelles ou de liens hypertextes inappropriés ; 
10. Certains excès de prolixité ou de fréquence d’intervention nuisant à la participation équitable de tous ; 
11. Les contributions superflues ou redondantes sans apport particulier pour les échanges ; 
12. Les informations obsolètes ou ayant déjà été pleinement débattues ; 
13. Tout message hors sujet. 
Nous nous réservons le droit de supprimer toute publication contraire aux règles susmentionnées. La page sera modérée en permanence pour assurer le respect de ce code de conduite. Tout membre dont l’unique objectif serait de nuire au bien-être de la communauté sera banni. 
L’ensemble des commentaires, images et opinions véhiculées ne reflètent pas nécessairement l’opinion du Premier ministre, Charles Michel. Nous sommes à l’écoute de la communauté, des critiques, des opinions de chacun pour autant qu’elles soient constructives, argumentées et dans un objectif d’enrichir les échanges. 
Nous sommes à l'écoute, n'hésitez pas à nous poser vos questions, bonne participation !
Charles Michel et son équipe
I. Charter voor het gebruik van de Facebookpagina van eerste minister Charles Michel
De Facebookpagina wordt onderhouden door de webteams van de premier.
De wall en de discussies op de Facebookpagina van premier Charles Michel (officiële pagina) zijn voor iedereen toegankelijk. Iedereen wordt uitgenodigd om deel te nemen, op voorwaarde dat hij of zij een aantal elementaire beleefdheidsregels in acht neemt.
Dit omvat onder meer:
1. Aanvallen of insinuaties op basis van ras, geloofsovertuiging (of het gebrek daaraan), etnische afkomst, geslacht of seksuele geaardheid; 
2. Berichten van niet-identificeerbare accounts;  
3. Beledigingen, pesterijen, ernstige onbewezen of onmiskenbaar onjuiste beweringen aan het adres van mensen of organisaties;
4. Obscene, pornografische of pestberichten;
5. Elk bericht dat een inbreuk vormt op de auteursrechten of de naburige rechten, op het recht dat van toepassing is op de databanken, op de beeld- en privacyrechten, alsook elk bericht dat andere geldende wettelijke of reglementaire bepalingen schendt;
6. Elke persoonlijke aanval op politici; 
7. Ad hominemgescheld (agressief, minachtend, dwingend taalgebruik) of, in het algemeen, elke opmerking die schade berokkent aan de deelnemers;
8. Elk gebruik van de website voor publicitaire of commerciële doeleinden;
9. De vermelding van persoonlijke contactgegevens of ongepaste hyperlinks; 
10. Breedvoerigheid of overmatige tussenkomsten die een billijke deelname van iedereen ondermijnen;
11. Nutteloze of overbodige bijdragen zonder bijzondere inbreng in de discussies;
12. Informatie die verouderd is of waarover reeds ruim is gedebatteerd;
13. Irrelevante berichten.
Wij behouden ons het recht voor om publicaties die in strijd zijn met de bovenstaande regels te verwijderen. De pagina zal permanent gemodereerd worden om erop toe te zien dat deze gedragscode wordt nageleefd. Elk lid dat als enige doel heeft het welzijn van de Facebook community te schaden, zal worden geband.
Alle commentaren, beelden en meningen weerspiegelen niet noodzakelijk het standpunt van premier Charles Michel. We luisteren naar de Facebook community en hebben oor voor alle kritieken en meningen, op voorwaarde dat ze constructief en beargumenteerd zijn met als doel de discussie te verrijken.
We zijn bereid om te luisteren, aarzel niet om ons uw vragen te stellen, prettige deelname!
Charles Michel en zijn team
I.    Nutzungsrichtlinien der Facebook-Seite von Premierminister Charles Michel 
Die Facebook-Seite wird vom Web-Team des Premierministers moderiert.
Der News Feed und die Kommentarfunktion der Facebook-Seite von Premierminister Charles Michel (offizielle Seite) können von jedermann genutzt werden. Jeder ist zur Teilnahme eingeladen, sofern er bestimmte Grundregeln der Höflichkeit respektiert.
Dazu zählen unter anderem: 
1. Anfeindungen oder Anspielungen mit einem Bezug auf die Rasse, den Glauben oder Nicht-Glauben, die ethnische Herkunft, das Geschlecht oder die sexuelle Orientierung
2. Posts von nicht identifizierbaren Konten
3. Beleidigungen, Belästigungen, unbegründete oder bekanntermaßen falsche Aussagen zu Einzelpersonen oder Organisationen
4. Posts mit obszönen, pornografischen oder anstößigen Inhalten
5. Posts, die gegen das Urheberrecht oder verwandte Schutzrechte verstoßen, die gegen das für Datenbanken geltende Recht, das Bild- und Datenschutzrecht oder gegen andere geltende Gesetze oder Vorschriften verstoßen
6. Persönliche Angriffe gegen Politikerinnen und Politiker
7. Persönliche Beleidigungen (aggressive, verächtliche, ultimative Bemerkungen) bzw. generell alles, was anderen Teilnehmern gegenüber verletzend ist
8. Jegliche Nutzung der Seite für Werbe- oder kommerzielle Zwecke
9. Die Erwähnung persönlicher Daten oder unangemessener Hypertext-Links
10. Übertrieben ausschweifende oder zu häufige Posts, die eine gleichberechtigte Nutzung durch alle stören oder unmöglich machen
11. Unnötige oder überflüssige Posts ohne besonderen Beitrag zum Thema
12. Veraltet oder bereits ausführlich diskutierte Informationen
13. Posts ohne Themenbezug
Wir behalten uns das Recht vor, Posts zu entfernen, die gegen die obigen Regeln verstoßen. Die Seite wird permanent moderiert, um die Einhaltung dieser Verhaltensvorschriften sicherzustellen. Mitglieder, deren einzige Zielsetzung darin besteht, die Gemeinschaft zu schädigen, werden gesperrt.
Alle veröffentlichten Kommentare, Bilder und Meinungen spiegeln nicht unbedingt die Meinung des Premierministers Charles Michel wider. Wir hören der Gemeinschaft zu und beachten die Kritik und Meinungen aller, solange sie konstruktiv und durch Argumente gestützt sind, und mit dem Ziel gepostet werden, den Austausch zu bereichern. 
Wir hören Ihnen zu. Stellen Sie uns Ihre Fragen. Wir wünschen einen angenehmen Aufenthalt auf unserer Seite!
Charles Michel und sein Team
Charter for the use of Prime Minister Charles Michel's Facebook page 
The Facebook page is moderated by the Prime Minister's web teams.
The wall and discussions on Prime Minister Charles Michel's Facebook page (official page) are open to all. Everyone is invited to participate, provided they respect some basic rules of courtesy.
This includes, but is not limited to: 
1. Attacks or insinuations based on race, beliefs or lack thereof, ethnic origin, gender or sexual orientation; 
2. Messages from non-identifiable accounts;  
3. Insults, harassment, severe baseless or clearly inaccurate statements about individuals or organizations; 
4. Any obscene, pornographic or harassing material; 
5. Any message that infringes copyright or neighbouring rights or rights related to databases, images and privacy, or any other legal or regulatory provisions in force; 
6. Any personal attack on politicians; 
7. Ad hominem (aggressive, contemptuous, peremptory) remarks or, in general, any offensive remarks against participants; 
8. Any use of the site for advertising or commercial purposes; 
9. References to personal contact details or inappropriate hypertext links; 
10. Excessive posting or numerous interventions that undermine equitable participation by all; 
11. Unnecessary or redundant contributions, without any particular contribution to the exchanges; 
12. Information that is obsolete or has already been fully debated; 
13. Any off-topic messages. 
We reserve the right to remove any publication that contravenes the above-mentioned rules. The page will be permanently moderated to ensure compliance with this code of conduct. Any member whose sole objective is to harm the well-being of the community will be banned. 
The comments, images and opinions do not necessarily reflect the views of Prime Minister Charles Michel. We listen to the community and to the criticism and opinions of everyone as long as they are constructive, well-argued and provided with the aim of enriching the exchanges. 
We are here to listen, so do not hesitate to ask us your questions. We hope you enjoy your participation!
Charles Michel and his team
</t>
  </si>
  <si>
    <t>16, rue de la Loi, 1000 Brussels, Belgium</t>
  </si>
  <si>
    <t>Diseñar, dirigir, coordinar y ejecutar las políticas y estrategias de comunicación, información y difusión del Gobierno Nacional.</t>
  </si>
  <si>
    <t>{'city': 'Tegucigalpa', 'country': 'Honduras', 'street': 'Antiguo Edif. de Cancillería, Edif. José  Cecilio del Valle Boulevard Juan Pablo II Tegucigalpa, Honduras'}</t>
  </si>
  <si>
    <t>{'city': 'Luxembourg', 'country': 'Luxembourg', 'street': 'Palais Grand-Ducal'}</t>
  </si>
  <si>
    <t>{'city': 'Belgrade', 'country': 'Serbia'}</t>
  </si>
  <si>
    <t>[{'id': '2400', 'name': 'Country'}, {'id': '161422927240513', 'name': 'Government Organization'}]</t>
  </si>
  <si>
    <t>[{'id': '147714868971098', 'name': 'Public &amp; Government Service'}, {'id': '1701', 'name': 'Government Official'}]</t>
  </si>
  <si>
    <t>[{'id': '161422927240513', 'name': 'Government Organization'}, {'id': '2400', 'name': 'Country'}]</t>
  </si>
  <si>
    <t>diplomatie.gouv.ci</t>
  </si>
  <si>
    <t>Ministère des Affaires Etrangères de la République de Côte d'Ivoire</t>
  </si>
  <si>
    <t>http://www.diplomatie.gouv.ci/</t>
  </si>
  <si>
    <t>https://www.facebook.com/diplomatie.gouv.ci/</t>
  </si>
  <si>
    <t>La nouvelle politique du Ministère des Affaires Etrangères, répond à la volonté politique affirmée par S.E.M. Alassane OUATTARA, Président de la République de Côte d'Ivoire, de réorienter la diplomatie ivoirienne en l´axant prioritairement sur la diplomatie économique. L´objectif général fixé par cette nouvelle politique est de "créer les conditions de mise en oeuvre de la diplomatie économique".</t>
  </si>
  <si>
    <t>00 225 20 32 08 88</t>
  </si>
  <si>
    <t>Plateau, Bvd Angoulvant, Bp. V. 109 Abidjan Abidjan, Cote d'Ivoire</t>
  </si>
  <si>
    <t>diplomatie.gov.mg</t>
  </si>
  <si>
    <t>Ministère des Affaires Etrangères</t>
  </si>
  <si>
    <t>http://www.diplomatie.gov.mg</t>
  </si>
  <si>
    <t>Page officielle du Ministère des Affaires étrangères</t>
  </si>
  <si>
    <t>https://www.facebook.com/diplomatie.gov.mg/</t>
  </si>
  <si>
    <t xml:space="preserve"> 020 22 211 98</t>
  </si>
  <si>
    <t>B.P 836, Rue Andriamifidy, Anosy 101 Antananarivo - Madagascar, 101 Antananarivo, Madagascar</t>
  </si>
  <si>
    <t>[{'id': '161422927240513', 'name': 'Government Organization'}, {'id': '139386576124160', 'name': 'Public Service'}]</t>
  </si>
  <si>
    <t>[{'id': '161422927240513', 'name': 'Government Organization'}, {'id': '436168419731123', 'name': 'City Hall'}]</t>
  </si>
  <si>
    <t>Dr. Sadık Ahmet Cad. No:8 Balgat, 06100 Ankara, Turkey</t>
  </si>
  <si>
    <t xml:space="preserve">Ministër për Evropën dhe Punët e Jashtme të Shqipërisë
Minister for Europe and Foreign Affairs of Albania
</t>
  </si>
  <si>
    <t>{'city': 'Kabul', 'country': 'Afghanistan', 'street': 'Karte Parwan - Baharestan'}</t>
  </si>
  <si>
    <t>[{'id': '1700', 'name': 'Politician'}]</t>
  </si>
  <si>
    <t xml:space="preserve">www.nnpgrenada.org </t>
  </si>
  <si>
    <t>{'street': "Happy Hill, St. George's, Grenada"}</t>
  </si>
  <si>
    <t>{'city': 'Addis Ababa', 'country': 'Ethiopia', 'street': 'Addis Ababa'}</t>
  </si>
  <si>
    <t>http://www.edgarchagwalungu.com</t>
  </si>
  <si>
    <t>{'city': 'Hay Riad Rabat', 'street': "Direction de l'Economie Numérique, Angle Avenue Kamal Zebdi et Rue Dadi (Secteur 21)"}</t>
  </si>
  <si>
    <t>[{'id': '161422927240513', 'name': 'Government Organization'}, {'id': '1758418281071392', 'name': 'Local Service'}, {'id': '177721448951559', 'name': 'Workplace &amp; Office'}]</t>
  </si>
  <si>
    <t>{'city': 'Dili', 'country': 'Democratic Republic of the Congo', 'street': 'Metiaut'}</t>
  </si>
  <si>
    <t>[{'id': '147714868971098', 'name': 'Public &amp; Government Service'}]</t>
  </si>
  <si>
    <t>{'city': 'Monrovia', 'country': 'Liberia', 'street': 'Ministry of State for Presidential Affairs'}</t>
  </si>
  <si>
    <t xml:space="preserve">Cette page est la page officielle de Monsieur Emmanuel ISSOZE NGONDET, Premier Ministre, Chef du Gouvernement Gabonais. </t>
  </si>
  <si>
    <t>Emmerson-Dambudzo-Mnangagwa-709844565772844</t>
  </si>
  <si>
    <t>Emmerson Dambudzo Mnangagwa</t>
  </si>
  <si>
    <t>President of the Republic of Zimbabwe</t>
  </si>
  <si>
    <t>{'street': 'Residencia Oficial de Los Pinos'}</t>
  </si>
  <si>
    <t>http://www.consilium.europa.eu</t>
  </si>
  <si>
    <t>[{'id': '161422927240513', 'name': 'Government Organization'}, {'id': '177721448951559', 'name': 'Workplace &amp; Office'}, {'id': '152142351517013', 'name': 'Corporate Office'}]</t>
  </si>
  <si>
    <t>{'city': 'Adds Ababa ', 'street': 'Ethiopian'}</t>
  </si>
  <si>
    <t>[{'id': '161422927240513', 'name': 'Government Organization'}, {'id': '192049437499122', 'name': 'Residence'}]</t>
  </si>
  <si>
    <t>{'city': 'Kanda- Accra', 'street': 'Office of the President'}</t>
  </si>
  <si>
    <t>{'city': 'Suva City', 'country': 'Fiji', 'street': 'Level 2, South Wing, BLV Complex, 87 Queen Elizabeth Drive, Nasese'}</t>
  </si>
  <si>
    <t>[{'id': '161422927240513', 'name': 'Government Organization'}, {'id': '108051929285833', 'name': 'College &amp; University'}]</t>
  </si>
  <si>
    <t>{'city': 'London', 'country': 'United Kingdom'}</t>
  </si>
  <si>
    <t>www.stjornarradid.is</t>
  </si>
  <si>
    <t>http://chrystiafreeland.ca/</t>
  </si>
  <si>
    <t>[{'id': '115725465228008', 'name': 'Region'}, {'id': '161422927240513', 'name': 'Government Organization'}]</t>
  </si>
  <si>
    <t>{'city': 'Bridgetown', 'country': 'Barbados', 'street': 'Old Town Hall'}</t>
  </si>
  <si>
    <t>[{'id': '2233', 'name': 'Media/News Company'}, {'id': '147714868971098', 'name': 'Public &amp; Government Service'}, {'id': '115725465228008', 'name': 'Region'}]</t>
  </si>
  <si>
    <t>https://www.facebook.com/gouvernement.lu/</t>
  </si>
  <si>
    <t>{'city': 'رام الله ', 'street': 'موقع رئاسة الوزراء في مدينة رام الله بالضفة الغربية'}</t>
  </si>
  <si>
    <t>{'city': 'Apia', 'country': 'Samoa'}</t>
  </si>
  <si>
    <t>https://www.gov.uz</t>
  </si>
  <si>
    <t>[{'id': '2706', 'name': 'Government Website'}, {'id': '147714868971098', 'name': 'Public &amp; Government Service'}]</t>
  </si>
  <si>
    <t>[{'id': '147714868971098', 'name': 'Public &amp; Government Service'}, {'id': '161422927240513', 'name': 'Government Organization'}, {'id': '1032965636792826', 'name': 'Government Building'}]</t>
  </si>
  <si>
    <t>Guvernul României pe Twitter: 
https://twitter.com/guv_ro</t>
  </si>
  <si>
    <t>President of the Republic of Liberia.</t>
  </si>
  <si>
    <t>https://fr.wikipedia.org/wiki/George_Weah</t>
  </si>
  <si>
    <t>https://www.facebook.com/gweah/</t>
  </si>
  <si>
    <t>{'city': 'Antananarivo', 'country': 'Madagascar', 'street': "Palais d'Ambohitsorohitra"}</t>
  </si>
  <si>
    <t>{'street': 'Rairok, Majuro'}</t>
  </si>
  <si>
    <t>[{'id': '1700', 'name': 'Politician'}, {'id': '197289820310880', 'name': 'Home'}]</t>
  </si>
  <si>
    <t>{'city': 'Bamako', 'country': 'Mali', 'street': 'Sebenicoro, Woyoyanko'}</t>
  </si>
  <si>
    <t>{'city': "N'Djamena", 'country': 'Chad'}</t>
  </si>
  <si>
    <t>{'city': 'Muharraq', 'country': 'Bahrain'}</t>
  </si>
  <si>
    <t>http://www.dfae.admin.ch</t>
  </si>
  <si>
    <t>Benvenuti sulla mia pagina Facebook ufficiale come Consigliere federale (uno dei 7 membri del Governo Svizzero) e capo del Dipartimento federale degli affari esteri DFAE
La pagina è gestita da me insieme con il Servizio della comunicazione del DFAE.</t>
  </si>
  <si>
    <t>https://www.facebook.com/ignaziocassis/</t>
  </si>
  <si>
    <t>http://www.president.al</t>
  </si>
  <si>
    <t xml:space="preserve">Presidenti i Republikës së Shqipërisë Z.Ilir Meta </t>
  </si>
  <si>
    <t>https://www.facebook.com/ilirmetaj/</t>
  </si>
  <si>
    <t>Bulevardi "Dëshmorët e Kombit", 1001 Tirana, Albania</t>
  </si>
  <si>
    <t>Utenriksminister (H)</t>
  </si>
  <si>
    <t>Når vi snakker sammen er det bra om vi holder en saklig og respektfull tone, vis respekt for dine meddebattanter og utøv normal folkeskikk. Jeg fjerner innlegg som er hetsende eller inneholder grove ukvemsord eller som er spam. 
Gjentatte brudd på retningslinjene vil medføre utestengelse fra min Facebook-side. Dette for å gjøre denne siden til en god arena å være på og debattere. Husk at det er mange som leser det du skriver!
Henvendelser som gjelder saker som behandles og/eller skal behandles i departementet vil ikke besvares. Jeg ber om at disse og særlig tekniske/fagmilitære spørsmål sendes til postmottak@ud.dep.no.
Moderatorene på denne siden er Ine Eriksen Søreide og hennes nærmeste politiske stab. De legger også ut innlegg og kommentarer på vegne av Ine Eriksen Søreide. Hun står ansvarlig for alt siden legger ut.
Jeg forsøker å svare på en del spørsmål, men ber om forståelse for at jeg ikke rekker å svare på alt.</t>
  </si>
  <si>
    <t>https://www.facebook.com/ineeriksensoreide/</t>
  </si>
  <si>
    <t xml:space="preserve">www.labour.org.nz </t>
  </si>
  <si>
    <t>Prime Minister of New Zealand. Leader of the New Zealand Labour Party. Minister for Child Poverty Reduction. Minister of Arts, Culture &amp; Heritage. Minister for National Security &amp; Intelligence.
Authorised by Jacinda Ardern MP, Parliament Buildings, WLG.</t>
  </si>
  <si>
    <t>https://www.facebook.com/jacindaardern/</t>
  </si>
  <si>
    <t>{'city': 'Kingston 10', 'street': '1 Devon Road'}</t>
  </si>
  <si>
    <t>http://japan.kantei.go.jp/</t>
  </si>
  <si>
    <t xml:space="preserve">The official Facebook page of Prime Minister's Office of Japan. 
</t>
  </si>
  <si>
    <t xml:space="preserve">The Prime Minister’s Office of Japan 
Facebook Moderation Policy 
http://japan.kantei.go.jp/privacy/fb_policy_e.html
1.	Administration
(1)	This Facebook Page is managed by:
Cabinet Public Relations Office, Cabinet Secretariat
(2)	Content of posts
The Prime Minister’s Office of Japan Facebook Page posts include the Prime Minister’s idea, the policies the Cabinet is working on, and daily activities at the Prime Minister’s Office, and some photographs. 
2.	Management of comments
(1)	Responding to comments
In principle, the Cabinet Public Relations Office will not respond to any comments or messages posted on the Facebook Page.
(2)	Deleting comments
We reserve the right to exercise our copyright over our facebook pages, and for that purpose to use facebook functions, to hide, in part or in full, delete or decline comments which are non-relevant to the item posted to the wall, or comments which are deemed to fall under any of the following conditions without notifying the users. 
•	Comments infringe a law, ordinance, or other regulations;
•	Comments violate public order and morals;
•	Comments promote criminal acts;
•	Comments slanders or defames a particular individual, company, group, or other entities, or damages their reputation or trustworthiness;  
•	Comments breach privacy, including disclosing and leaking personal information without the authorization of its owner; 
•	Comments breach third-party rights, including patents, design rights, copyrights, trademarks, and portrait rights;
•	Comments’ purpose is to generate profit;
•	Comments include false information or significantly deviate from the truth;
•	Comments violate the Facebook policy; 
•	Comments are designed to cause nuisance to the Page administrator.   
•	Comments include abusive, obscene, indecent, offensive words, hate speech or link to websites with such contents
•	Comments intend to take viewers to other websites, without expressing any views or opinions
•	Comments with the same or similar contents are posted repeatedly by the same user. 
    (3) Banning users
We also reserve the right to ban users who post comments listed above. Those users who violate the moderation policy may be banned permanently.
3.	URL of the Prime Minister’s Office of Japan Facebook Page 
　　http://www.facebook.com/Japan.PMO　
4.	Modification of the Moderation Policy
We may at any time, without notice, revise these policies and other information contained in this Page.
5.	Intellectual property rights
Intellectual property rights over the photographs, illustrations, audio, video, and text, etc., posted on the Page belong to the Cabinet Public Relations Office or those with valid rights. 
People are free to use “Like” and “Share” functions for the posts on the Facebook Page. All the information on the Page, may be reused with attribution. However, this does not apply to information marked “All Rights Reserved.”     
6.	Disclaimer
•	The office is taking every possible care to ensure the accuracy of the information posted on the Page. However, the Cabinet Public Relations Office cannot accept responsibility for any consequences whatsoever that may result from decisions or actions taken by users based on the information on the Page.
•	Please note that the Cabinet Public Relations Office is not responsible for any inter-user trouble caused by the Page or damages suffered as a result, or for any user-third party trouble caused by the Page or damages suffered as a result.
•	The copyright and other rights of the posts, including comments, belong to the users who made the post. However, by posting content, it is deemed that the user licensed the right to utilize the content globally at no charge and on a non-exclusive basis to the Cabinet Public Relations Office, and it is deemed that the user has consented to not exercising its copyright or other rights against the Cabinet Public Relations Office.
•	The Cabinet Public Relations Office bears no responsibility for any other damages caused by the Page.      
</t>
  </si>
  <si>
    <t>http://www.japan.go.jp/</t>
  </si>
  <si>
    <t xml:space="preserve">Official Facebook of the Government of Japan. </t>
  </si>
  <si>
    <t>{'city': 'Guatemala', 'street': 'Centro Histórico'}</t>
  </si>
  <si>
    <t>{'city': 'Bissau', 'country': 'Guinea-Bissau'}</t>
  </si>
  <si>
    <t>{'street': 'ASA'}</t>
  </si>
  <si>
    <t>[{'id': '1701', 'name': 'Government Official'}]</t>
  </si>
  <si>
    <t xml:space="preserve">Presidente Constitucional de Honduras 2018 - 2022
Tres grandes propósitos de mi gobierno son: 1) Recuperar la paz 2) Generación de Empleo 3) Vida Mejor </t>
  </si>
  <si>
    <t>15-45</t>
  </si>
  <si>
    <t>вулиця Михайла Грушевського, № 12/2 /vulytsya Mykhayla Hrushevskoho, № 12/2 ., Kyiv, Ukraine, 01008</t>
  </si>
  <si>
    <t>[{'id': '161422927240513', 'name': 'Government Organization'}, {'id': '1602', 'name': 'Public Figure'}]</t>
  </si>
  <si>
    <t>[{'id': '161422927240513', 'name': 'Government Organization'}, {'id': '198503866828628', 'name': 'Organization'}, {'id': '2401', 'name': 'City'}]</t>
  </si>
  <si>
    <t>[{'id': '2233', 'name': 'Media/News Company'}]</t>
  </si>
  <si>
    <t>{'city': 'Sialkot', 'country': 'Pakistan'}</t>
  </si>
  <si>
    <t>{'city': 'Oslo', 'country': 'Norway', 'street': 'Det kongelige slott'}</t>
  </si>
  <si>
    <t>[{'id': '161422927240513', 'name': 'Government Organization'}, {'id': '360320934014496', 'name': 'Lifestyle Service'}]</t>
  </si>
  <si>
    <t>{'city': 'Budapest', 'country': 'Hungary'}</t>
  </si>
  <si>
    <t>{'city': 'الرياض', 'street': 'المملكة العربية السعودية'}</t>
  </si>
  <si>
    <t>Miroslav Lajčák je od 23. apríla 2016 ministrom zahraničných vecí a európskych záležitostí SR. Od 4. apríla 2012 do 23. apríla 2016 bol podpredsedom vlády SR a ministrom zahraničných vecí a európskych záležitostí. Predtým pôsobil ako výkonný riaditeľ pre Európu a Strednú Áziu v Európskej službe pre vonkajšiu činnosť v Bruseli. Jeho oficiálny životopis nájdete tu: http://www.mzv.sk/ministerstvo/minister-zivotopis_ministra
Miroslav Lajčák serves as the Minister of Foreign and European Affairs of the Slovak Republic since April 23, 2016. Since April 4, 2012 to April 23, 2016 he served as the Deputy Prime Minister and the Minister of Foreign and European Affairs of the Slovak Republic.Since December 2010 to April 2012 he served as a Managing Director for Europe and Central Asia under the European External Action Service in Brussels.His official CV is available here: http://www.mzv.sk/web/en/minister</t>
  </si>
  <si>
    <t>{'city': 'San José, Costa Rica.', 'street': 'Casa Presidencial'}</t>
  </si>
  <si>
    <t>[{'id': '1700', 'name': 'Politician'}, {'id': '1555099458125522', 'name': 'Agricultural Cooperative'}]</t>
  </si>
  <si>
    <t>Airport roadNext Hotel Jazeera, 252 Mogadishu, Banadir, Somalia</t>
  </si>
  <si>
    <t>http://www.diplomatie.ml</t>
  </si>
  <si>
    <t>Ministère des Affaires Étrangères et de la Coopération Internationale du Mali</t>
  </si>
  <si>
    <t>https://www.facebook.com/maeciia1960/</t>
  </si>
  <si>
    <t>Le ministre des Affaires étrangères prépare et met en oeuvre l’action diplomatique du Mali.
A ce titre, il est compétent pour:
- l’établissement et la consolidation des relations entre le Mali et les autres Etats et entre le Mali et les organisations internationales;
- la coordination des actions diplomatiques de l’Etat;
- le suivi des relations entre les membres du Gouvernement et les représentants de pays et d’organismes étrangers;
- l’organisation de la représentation diplomatique du Mali;
- l’organisation des consulats du Mali, en concertation avec le ministre chargé des Maliens établis à l’extérieur;
- la négociation, la conclusion, la conservation, l’interprétation et le suivi des traités et accords internationaux, en rapport avec les autres ministres;
- la coordination des relations du Gouvernement avec les représentants des Etats étrangers et des organisations internationales accrédités au Mali;
- la gestion des privilèges et immunités diplomatiques et consulaires;
- l’information régulière du Gouvernement sur l’évolution de la situation internationale et ses répercussions sur les positions et les politiques publiques du Mali;
- l’information des missions diplomatiques et des organisations internationales sur les positions et les politiques publiques du Mali;
- la gestion du protocole de l’Etat;
- le développement et le suivi des actions de coopération en matière de lutte contre le terrorisme et la criminalité transfrontalière;
- les questions de paix et de sécurité internationale</t>
  </si>
  <si>
    <t>9, rue Palais de Justice, L-1841 Luxembourg, Luxembourg</t>
  </si>
  <si>
    <t>{'city': 'Colombo', 'country': 'Sri Lanka'}</t>
  </si>
  <si>
    <t>Media</t>
  </si>
  <si>
    <t>{'city': 'Lilongwe', 'country': 'Malawi'}</t>
  </si>
  <si>
    <t>MarcelAmonTanoh</t>
  </si>
  <si>
    <t>Marcel Amon-Tanoh</t>
  </si>
  <si>
    <t>Page officielle de M. Marcel Amon-Tanoh, homme politique ivoirien et actuel Ministre des Affaires Etrangères de la République de Côte d'Ivoire.</t>
  </si>
  <si>
    <t>Marcel Amon-Tanoh né le 25 novembre 1951 à Abidjan est un homme d’état Ivoirien et l'actuel ministre des Affaires Étrangères de la République de Côte d’Ivoire.</t>
  </si>
  <si>
    <t>https://www.facebook.com/MarcelAmonTanoh/</t>
  </si>
  <si>
    <t>{'city': 'Abidjan', 'country': "Côte d'Ivoire"}</t>
  </si>
  <si>
    <t>South Block, Raisina Hill, New Delhi 110001</t>
  </si>
  <si>
    <t>[{'id': '161422927240513', 'name': 'Government Organization'}, {'id': '373543049350668', 'name': 'Political Organization'}]</t>
  </si>
  <si>
    <t>[{'id': '161422927240513', 'name': 'Government Organization'}, {'id': '2401', 'name': 'City'}]</t>
  </si>
  <si>
    <t>+992372210126, 2211808</t>
  </si>
  <si>
    <t>[{'id': '161422927240513', 'name': 'Government Organization'}, {'id': '1701', 'name': 'Government Official'}]</t>
  </si>
  <si>
    <t>[{'id': '161422927240513', 'name': 'Government Organization'}, {'id': '115725465228008', 'name': 'Region'}]</t>
  </si>
  <si>
    <t>{'city': 'Улаанбаатар 14210', 'street': 'Энх тайвны гудамж-7А,'}</t>
  </si>
  <si>
    <t>[{'id': '161422927240513', 'name': 'Government Organization'}, {'id': '149044025154029', 'name': 'Passport &amp; Visa Service'}, {'id': '214297118585256', 'name': 'Consulate &amp; Embassy'}]</t>
  </si>
  <si>
    <t xml:space="preserve">Ministra de Relaciones Exteriores y Movilidad Humana. Geógrafa, ecologista y poeta ecuatoriana. Militante de la Revolución Ciudadana. </t>
  </si>
  <si>
    <t>https://www.facebook.com/mfespinosaEC/</t>
  </si>
  <si>
    <t>[{'id': '161422927240513', 'name': 'Government Organization'}, {'id': '1500', 'name': 'Interest'}]</t>
  </si>
  <si>
    <t>https://www.facebook.com/MAEGEGN/</t>
  </si>
  <si>
    <t>00224  656 - 28 - 12 - 35</t>
  </si>
  <si>
    <t>[{'id': '161422927240513', 'name': 'Government Organization'}, {'id': '1032965636792826', 'name': 'Government Building'}]</t>
  </si>
  <si>
    <t>{'city': 'Gaborone', 'country': 'Botswana', 'street': 'P/Bag 00368'}</t>
  </si>
  <si>
    <t>{'city': 'Male', 'country': 'Maldives', 'street': 'Ministry of Foreign Affairs'}</t>
  </si>
  <si>
    <t>{'city': 'Tehran', 'country': 'Iran'}</t>
  </si>
  <si>
    <t>{'street': 'Capitol Hill'}</t>
  </si>
  <si>
    <t>[{'id': '139386576124160', 'name': 'Public Service'}, {'id': '161422927240513', 'name': 'Government Organization'}, {'id': '214297118585256', 'name': 'Consulate &amp; Embassy'}]</t>
  </si>
  <si>
    <t>Avenida Independencia No.752, Estancia San Gerónimo, Zona Universitaria, 28020 Santo Domingo, Dominican Republic</t>
  </si>
  <si>
    <t>Sahifa O‘zbekiston Respublikasi Prezidenti matbuot xizmati tomonidan yuritiladi. 
Аккаунт управляется Пресс-Службой Президента Республики Узбекистан. 
Account is run by Press-Service of the Pre</t>
  </si>
  <si>
    <t xml:space="preserve">Sahifa O‘zbekiston Respublikasi Prezidenti Matbuot xizmati tomonidan yuritiladi. 
Аккаунт управляется Пресс-службой Президента Республики Узбекистан. 
Account is run by Press-Service of the President of the Republic of Uzbekistan. </t>
  </si>
  <si>
    <t>MNEdePortugal</t>
  </si>
  <si>
    <t>Ministério dos Negócios Estrangeiros de Portugal</t>
  </si>
  <si>
    <t>Página Oficial do Ministério dos Negócios Estrangeiros de Portugal / Official Page of the Ministry of Foreign Affairs of Portugal</t>
  </si>
  <si>
    <t>https://www.facebook.com/MNEdePortugal/</t>
  </si>
  <si>
    <t>Palácio das Necessidades, Largo do Rilvas, 1399-030 Lisbon, Portugal</t>
  </si>
  <si>
    <t xml:space="preserve">الصفحة الرسمية لوزارة الخارجية والمغتربين الفلسطينية </t>
  </si>
  <si>
    <t>[{'id': '161422927240513', 'name': 'Government Organization'}, {'id': '214297118585256', 'name': 'Consulate &amp; Embassy'}, {'id': '1874409019452971', 'name': 'Locality'}]</t>
  </si>
  <si>
    <t>[{'id': '161422927240513', 'name': 'Government Organization'}, {'id': '176831012360626', 'name': 'Professional Service'}]</t>
  </si>
  <si>
    <t>{'city': 'Naypyi Taw /Myanmar', 'street': 'Ministry of Foreign Affairs'}</t>
  </si>
  <si>
    <t>[{'id': '214297118585256', 'name': 'Consulate &amp; Embassy'}, {'id': '161422927240513', 'name': 'Government Organization'}, {'id': '115725465228008', 'name': 'Region'}]</t>
  </si>
  <si>
    <t>{'city': 'Abu Dhabi'}</t>
  </si>
  <si>
    <t>MouambaClement</t>
  </si>
  <si>
    <t>Premier Ministre Clement Mouamba</t>
  </si>
  <si>
    <t>Clément Mouamba est un homme d'État congolais qui est Premier ministre du Congo-Brazzaville depuis avril 2016. De1992-1995, il a occupé le Poste de Ministre de l’Economie du Plan-Finance et de la Prospective Chargé des Reformes Economiques.
En 1995 Directeur Central du Crédit et du Marché Monétaire au siège de la B.E.A.C à Yaoundé au Cameroun. De 1999 à 2007 Conseiller du Gouverneur de la B.E.A.C.
Au premier congrès extraordinaire du UPADS, tenue les 27 et 28 Décembre 2006, Mouamba avait été élu comme l'un des 25 vice-présidents du parti.
Mouamba a rompu avec son parti avant l'organisation du référendum constitutionnel de 2015, afin de prendre part à un dialogue parrainé par le gouvernement, que l'opposition avait boycotté, à cause de la question du changement de la constitution. Le référendum a permis au Président Denis Sassou Nguesso de briguer un autre mandat à l'élection présidentielle de Mars 2016. Après la prestation de serment du président Sassou Nguesso pour un nouveau mandat le 16 avril 2016, il nommera Mouamba comme Premier ministre le 23 Avril</t>
  </si>
  <si>
    <t>https://www.facebook.com/MouambaClement/</t>
  </si>
  <si>
    <t>{'city': 'Maya-Maya', 'country': 'Republic of the Congo'}</t>
  </si>
  <si>
    <t>Maya-Maya, Brazzaville, Congo</t>
  </si>
  <si>
    <t>{'city': 'Nay Pyi Taw', 'street': 'President House'}</t>
  </si>
  <si>
    <t>{'zip': '00100'}</t>
  </si>
  <si>
    <t>This page is administered on behalf of the Presidency of the Republic of Namibia</t>
  </si>
  <si>
    <t>http://www.nicolasmaduro.org.ve/</t>
  </si>
  <si>
    <t>Presidente de la República Bolivariana de Venezuela. Hijo de Chávez. Construyendo junto al Pueblo una Patria de Futuro, porque juntos todo es posible.</t>
  </si>
  <si>
    <t>Nicolás Maduro Moros nació en Caracas el 23 de noviembre del año 1962. Militó en la Liga Socialista. Siendo muy joven, comenzó a trabajar como conductor en el Metro de Caracas, empresa en la cual llegó a ser miembro de la Junta Directiva y se convirtió en dirigente sindical.  
Militó en el Movimiento Bolivariano Revolucionario 200 (MBR-200). Fue destacado activista por la libertad del Comandante Chávez cuando este se encontraba en prisión por su participación en la insurrección militar del año 1992.  
El 10 de octubre del 2012, fue nombrado Vicepresidente Ejecutivo. El 8 de marzo del 2013, a pocos días de la desaparición física del Presidente Chávez.  
El 14 de abril del 2013 fue elegido Presidente constitucional de la República Bolivariana de Venezuela, convirtiéndose en el primer presidente chavista y obrero de la historia contemporánea de Venezuela.</t>
  </si>
  <si>
    <t>https://www.anastasiades.com.cy/</t>
  </si>
  <si>
    <t>{'city': 'Nicosia', 'country': 'Cyprus', 'street': 'Προεδρικό Μέγαρο'}</t>
  </si>
  <si>
    <t>{'city': 'Maputo', 'country': 'Mozambique', 'street': 'Rua Frente de Libertação Nacional de Moçambique, 221'}</t>
  </si>
  <si>
    <t>{'city': 'Belmopan', 'country': 'Belize', 'street': 'Third Floor, Sir Edney Cain Building'}</t>
  </si>
  <si>
    <t>http://ortcom.kz/ru</t>
  </si>
  <si>
    <t>Seja bem-vindo(a) à página oficial do Planalto. Aqui, você acompanha as ações, projetos e o cotidiano do Palácio do Planalto e da Presidência da República. Siga e participe</t>
  </si>
  <si>
    <t>https://www.facebook.com/palaciodoplanalto/</t>
  </si>
  <si>
    <t>{'city': 'São Tomé e Príncipe'}</t>
  </si>
  <si>
    <t>{'city': 'Yaoundé', 'country': 'Cameroon', 'street': 'Palais Présidentiel'}</t>
  </si>
  <si>
    <t>{'city': 'Ouagadouga', 'country': 'Burkina Faso'}</t>
  </si>
  <si>
    <t>{'street': 'Chișinău'}</t>
  </si>
  <si>
    <t>{'city': 'Islamabad', 'country': 'Pakistan', 'street': 'Zero Point, Benovelent Fund Building'}</t>
  </si>
  <si>
    <t>http://pmo.govmu.org/English/Pages/default.aspx</t>
  </si>
  <si>
    <t>https://www.facebook.com/PJugnauth/</t>
  </si>
  <si>
    <t xml:space="preserve">Bienvenue sur la plateforme Facebook de l’Honorable Pravind Kumar Jugnauth, le Premier ministre de la République de Maurice.
Vous y trouverez les vidéos de ses fonctions et activités officielles.
</t>
  </si>
  <si>
    <t>www.premier-ministre.gov.dz</t>
  </si>
  <si>
    <t>الوزارة الأولى للجمهورية الجزائرية الديمقراطية الشعبية
Premier Ministère de la République Algérienne Démocratique et Populaire</t>
  </si>
  <si>
    <t>19-08-2017</t>
  </si>
  <si>
    <t>https://www.facebook.com/pm.gov.dz/</t>
  </si>
  <si>
    <t>الصفحة الرسمية للوزارة الأولى للجمهورية الجزائرية الديمقراطية الشعبية</t>
  </si>
  <si>
    <t xml:space="preserve">+213 21 73 12 00 </t>
  </si>
  <si>
    <t>Rue Docteur Saâdane, Palais du Gouvernement, 16000 Algiers, Algeria</t>
  </si>
  <si>
    <t>https://www.facebook.com/PM.Hailemariam/</t>
  </si>
  <si>
    <t xml:space="preserve">1. Dasho Tshering Tobgay is the second Democratically elected Prime Minister of Bhutan (2013-). Prior to 2013 he served as the Opposition Leader in the Parliament of Bhutan.
Recipient of the reinstituted 'Lung-mar' award from His Majesty the King. 'Lung-mar' is a compounded form of two words, lungserma (red-gold) and Marp (Red).
Dasho Tshering Tobgay received the award in recognition of his contributions to the democratic process during his tenure as the opposition leader between 2008-2013, and with the expectation that he would serve equally well as the Prime Minister.
2. Jigme Yoser Thinley was the first Democratically elected Prime Minister of Bhutan from April 2008 to April 2013. </t>
  </si>
  <si>
    <t>https://www.facebook.com/PMOBhutan/</t>
  </si>
  <si>
    <t>{'city': 'Thimphu', 'country': 'Bhutan', 'street': 'Gyalyong Tshogkhang'}</t>
  </si>
  <si>
    <t>[{'id': '139386576124160', 'name': 'Public Service'}, {'id': '161422927240513', 'name': 'Government Organization'}]</t>
  </si>
  <si>
    <t>South Block, New Delhi 110011</t>
  </si>
  <si>
    <t>الصفحة الرسمية لرئاسة الوزراء والمخصصة لاطلاع الأردنيين مباشرة على مجمل أنشطة الحكومة أولاً بأول.</t>
  </si>
  <si>
    <t xml:space="preserve">أهلا بكم في الصفحة الرسمية لرئاسة الوزراء في المملكة الأردنية الهاشمية التي ستتطلعون من خلالها مباشرة على أنشطة الحكومة، مع تسليط الضوء على خطة النمو الاقتصادي الوطنية من جوانبها المختلفة. 
تناط مهمة السلطة التنفيذية في المملكة الأردنية الهاشمية بالملك، ويتولاها بواسطة وزرائه وفق أحكام الدستور الأردني، حيث يتألف مجلس الوزراء من رئيس للوزراء وعدد من الوزراء حسب الحاجة والمصلحة العامة. يتولى مجلس الوزراء مسؤولية إدارة جميع شؤون الدولة باستثناء ما قد عهد أو يعهد به من تلك الشؤون بموجب الدستور أو أي تشريع آخر. ويكون مجلس الوزراء مسؤولاً أمام مجلس النواب مسؤولية مشتركة عن السياسة العامة للدولة.
تضطلع رئاسة الوزراء بمهام عديدة أبرزها، تحسين آلية صنع القرار، وتعزيز العمل وتحسينه، والمتابعة الفاعلة لقرارات رئيس الوزراء ومجلس الوزراء، ومراقبة ومتابعة الأداء الحكومي، وتمتين الاتصال والتنسيق والتعاون مع مؤسسات الدولة قاطبة والمواطنين ووسائل الإعلام، والمتابعة والتنسيق وتذليل العقبات فيما يخص المشروعات الكبرى والاستراتيجية والتعاون والتشارك المعرفي والتنفيذي، لضمان تحقيق رؤية الرئاسة ورسالتها وأهدافها بكفاءة عالية.
</t>
  </si>
  <si>
    <t xml:space="preserve">الصفحة الرسمية لرئاسة الوزراء في المملكة الأردنية الهاشمية
</t>
  </si>
  <si>
    <t xml:space="preserve">إبقاء مواطنّا الأردني على اطلاع بجميع أنشطة الحكومة، بكل شفافية، من خلال:
•	نشر محتوى تفاعلي يوضح أبرز نشاطات الحكومة وخططها، محلياً وإقليمياً ودولياً
•	نشر التقارير والحقائق أولاً بأول
•	التغطية المباشرة لأنشطة الحكومة
</t>
  </si>
  <si>
    <t>Premier-Mark-Brantley-107371062633538</t>
  </si>
  <si>
    <t>[{'id': '198503866828628', 'name': 'Organization'}, {'id': '115725465228008', 'name': 'Region'}, {'id': '2401', 'name': 'City'}]</t>
  </si>
  <si>
    <t>{'street': 'قصر قرطاج الرئاسة'}</t>
  </si>
  <si>
    <t>[{'id': '161422927240513', 'name': 'Government Organization'}, {'id': '1718496305079765', 'name': 'Palace'}, {'id': '177721448951559', 'name': 'Workplace &amp; Office'}]</t>
  </si>
  <si>
    <t>http://www.pm.gov.tn/</t>
  </si>
  <si>
    <t>الجمهورية التونسية:  الصفحة الرسمية لرئاسة الحكومة التونسية http://www.pm.gov.tn/</t>
  </si>
  <si>
    <t>{'city': 'Libreville', 'country': 'Gabon'}</t>
  </si>
  <si>
    <t>[{'id': '161422927240513', 'name': 'Government Organization'}, {'id': '187133811318958', 'name': 'Business Service'}, {'id': '152142351517013', 'name': 'Corporate Office'}]</t>
  </si>
  <si>
    <t>{'city': 'Bogotá', 'country': 'Colombia', 'street': 'Casa de Nariño Carrera 8 No.7-26'}</t>
  </si>
  <si>
    <t>{'street': 'Jr. de la Unión s/n 1era cuadra Lima'}</t>
  </si>
  <si>
    <t>[{'id': '161422927240513', 'name': 'Government Organization'}, {'id': '140234236045713', 'name': 'Elementary School'}]</t>
  </si>
  <si>
    <t>The President's Office, 20013 Male, Maldives</t>
  </si>
  <si>
    <t>[{'id': '161422927240513', 'name': 'Government Organization'}, {'id': '179943432047564', 'name': 'Performance &amp; Event Venue'}, {'id': '197097220301977', 'name': 'Historical Place'}]</t>
  </si>
  <si>
    <t>{'city': 'Conakry', 'country': 'Guinea'}</t>
  </si>
  <si>
    <t>{'street': 'Áras an Uachtaráin, Phoenix Park, Dublin 8'}</t>
  </si>
  <si>
    <t>Бульвар Эркиндик 57, 720040 Bishkek, Kyrgyzstan</t>
  </si>
  <si>
    <t>{'city': 'Praha 1 - Hrad', 'zip': '119 08'}</t>
  </si>
  <si>
    <t>{'street': 'Fatick'}</t>
  </si>
  <si>
    <t>{'city': 'Amman', 'country': 'Jordan'}</t>
  </si>
  <si>
    <t>{'street': 'الصفحة الرسمية'}</t>
  </si>
  <si>
    <t>{'city': 'Pitakotte'}</t>
  </si>
  <si>
    <t xml:space="preserve">Jüri Ratas on sündinud 2. juulil 1978 Tallinnas, ta on abielus ning tal on kolm last. 23. novembrist 2016. aastal on ta Eesti Vabariigi peaminister.
Tänases ametis toetub Jüri Ratas tugevale akadeemilisele haridusele ning kogemustele era- ning avalikus sektoris. Ta jätkab õpinguid Tallinna Tehnikaülikoolis haldusjuhtimises doktoriõppes. Doktoritöö teemaks on konkurentsivõimeline linn. 
Jüri Ratas lõpetas 1996. aastal Tallinna Nõmme Gümnaasiumi, 2000. aastal Tallinna Tehnikaülikooli majandusteaduskonna ärikorralduse erialal ning omandanud majandusteaduste magistrikraadi TTÜst aastal 2002. Aastal 2005 omandas Jüri Ratas ka õigusteaduste bakalaureuse kraadi Tartu Ülikooli Õigusinstituudist.
Jüri Ratas on olnud eraettevõtja, autohooldusteenuseid pakkuva OÜ Värvilised juhatuse esimees ning kuulunud ka selle ettevõtte omanikeringi. Jüri Ratas töötas Edgar Savisaare Tallinna linnapeaks oleku ajal tema majandusnõunikuna, hiljem abilinnapeana, vastutades teedeehituse ja kommunaalteenuste eest. Sama ametit pidas ta teist korda Tõnis Paltsi juhitavas linnavalitsuses.
Aastatel 2005-2007 oli Jüri Ratas Tallinna linnapea. Tema ametiaja olulisemateks otsusteks olid Vabaduse Väljaku rekonstrueerimine ja Harju tänava haljasala taastamine. Tallinna linnapeana algatas ta Euroopa Rohelise Pealinna idee ning oli ühtlasi Euroopa Liidu Pealinnade Liidu eesistuja.
Jüri Ratas on olnud Eesti Korvpalliliidu noortekorvpalli juht, pikaaegne juhatuse liige, Eesti Korvpalliliidu president ning Riigikogu aseesimees. </t>
  </si>
  <si>
    <t>{'street': 'Cumhurbaşkanlığı Sarayı 06560 Beştepe-Ankara'}</t>
  </si>
  <si>
    <t>{'city': 'Lomé', 'country': 'Togo'}</t>
  </si>
  <si>
    <t>{'city': 'Jerusalem', 'country': 'Israel'}</t>
  </si>
  <si>
    <t>{'city': 'Ouagadougou', 'country': 'Burkina Faso', 'street': 'Palais de KOSYAM'}</t>
  </si>
  <si>
    <t>{'street': 'Afghanistan'}</t>
  </si>
  <si>
    <t>{'street': 'Apia, Samoa'}</t>
  </si>
  <si>
    <t>www.SaadeddineElOtmani.org</t>
  </si>
  <si>
    <t>Origines familiales:
Saâdeddine El Otmani est issu d'une célèbre famille amazighe du Souss qui, selon Mohamed Mokhtar Soussi, est l'« une des deux seules familles au Maroc où la science s'est perpétuée depuis plus de mille ans »3.
Études supérieures:
Saâdeddine El Othmani, après avoir passé un baccalauréat en sciences mathématiques en 1976, s'engagea dans des études de médecine à Casablanca, obtenant un doctorat en médecine générale à la faculté de médecine de l'université Hassan II en 1986 et un diplôme de spécialité en psychiatrie en 19941. Il a aussi acquis une licence en droit musulman (charia) en 1983, puis un magistère en loi islamique à Dar al-Hadith al-Hassania en 1987 et un diplôme supérieur en études islamiques à la faculté des lettres et des sciences humaines de l'université Mohammed V de Rabat en novembre 19991.
Parcours professionnel[modifier | modifier le code]
Une fois devenu docteur en médecine, Saâdine El Otmani commença, en 1987, à exercer en tant que médecin généraliste, puis à compter de 1990, dans le cadre de la poursuite de ses études médicales, également en tant que médecin en cours de spécialité en psychiatrie au centre hospitalier universitaire de Casablanca. En 1994, il devint Psychiatre à l'hôpital psychiatrique de Berrechid, et ce, jusqu'en 19971.
Sa carrière s'orienta alors résolument vers la politique, l'amenant à assurer diverses responsabilités. À la suite des élections législatives de 1997, il devint parlementaire d'Inezgane1, sa ville natale, qu'il resta à la suite de celles de 2002 jusqu'en 20071. Parallèlement, il fut le vice-président de la commission des Affaires étrangères au Parlement en 2001-2002, devint membre du Conseil maghrébin de la Choura1 (conseil consultatif de l'Union du Maghreb arabe) en 2002 et évolua au sein de ses formations politiques de rattachement.
En janvier 1998, il devint le directeur du Mouvement populaire démocratique constitutionnel (MPDC)1, né d'une scission du Mouvement populaire (MP) et « ancêtre » du Parti de la justice et du développement (PJD), d'obédience islamiste ; en décembre 1999, le vice-secrétaire général du PJD1 ; et à partir de 2004, après la retraite politique d'Abdelkrim Al Khatib (fondateur du MPDC), son secrétaire général1.
Lors des élections du parti de 2008, où il ne s'était pas représenté en tant que secrétaire général4, il fut remplacé par Abdelilah Benkirane, mais obtint la présidence de son conseil national4. Il est aussi devenu le président de la commission des relations internationales du PJD[réf. nécessaire][Quand ?].
Il est nommé le 3 janvier 2012, ministre des Affaires étrangères et de la Coopération dans le gouvernement Benkirane5, formé à la suite de la victoire du PJD aux élections législatives de 2011. Il remplace Taieb Fassi-Fihri, devenu Conseiller diplomatique du Roi Mohammed VI. Le 10 octobre 2013, il est remplacé par Salaheddine Mezouar dans le gouvernement Benkiran II.
Le 17 Mars 2017 Saad dine El othmani a été nommé chef du gouvernement marocain par le roi Mohammed VI pour remplacer Abdel-Ilah Benkiran après cinq mois de blocage pour former un nouvel exécutif.</t>
  </si>
  <si>
    <t>https://www.facebook.com/saotmn911/</t>
  </si>
  <si>
    <t>Saâdeddine El Otmani</t>
  </si>
  <si>
    <t>الصفحة الرسمية لرئيس الحكومة</t>
  </si>
  <si>
    <t xml:space="preserve">Saâdeddine El Othmani  chef du gouvernement du maroc
</t>
  </si>
  <si>
    <t xml:space="preserve">politique </t>
  </si>
  <si>
    <t>{'city': 'Male', 'country': 'Maldives', 'street': "President's Office"}</t>
  </si>
  <si>
    <t>{'city': 'Brazzaville', 'country': 'Republic of the Congo'}</t>
  </si>
  <si>
    <t>- seit 16 politisch engagiert 
- 2009 – 2017 Bundesobmann der Jungen ÖVP
- 2011 – 2013 Staatssekretär für Integration
- 2013 - 2017: Minister für Europa Integration und Äußeres 
- seit 1. Juli 2017: Bundesparteiobmann der Volkspartei 
- seit 18. Dezember 2017: Bundeskanzler der Republik Österreich</t>
  </si>
  <si>
    <t>{'city': 'Jakarta', 'country': 'Indonesia'}</t>
  </si>
  <si>
    <t xml:space="preserve">A Secretaria de Governo auxilia o Presidente da República na coordenação política do Governo Federal, em especial no relacionamento deste com o Congresso Nacional e partidos políticos, e na interlocução com Estados, Distrito Federal e Municípios.  Também é atribuição da secretaria atuar na prevenção e gerenciamento de crises institucionais.
</t>
  </si>
  <si>
    <t>Soumeylou Boubeye Maiga</t>
  </si>
  <si>
    <t>Facebook officiel de Soumeylou Boubeye Maïga</t>
  </si>
  <si>
    <t>https://www.facebook.com/Soumeylou-Boubeye-Maiga-252932994776447/</t>
  </si>
  <si>
    <t>http://www.sebastianpinera.cl</t>
  </si>
  <si>
    <t>Ex Presidente de la República de Chile (2010-2014). Casado con Cecilia Morel, padres de 4 y abuelos de 9. Creo en la democracia, libertad, justicia y progreso para todos los chilenos</t>
  </si>
  <si>
    <t>{'city': 'Santiago', 'country': 'Chile'}</t>
  </si>
  <si>
    <t>{'zip': '06010'}</t>
  </si>
  <si>
    <t>{'city': 'San Salvador', 'country': 'El Salvador'}</t>
  </si>
  <si>
    <t>statehousemauritius</t>
  </si>
  <si>
    <t>Office of the President of The Republic of Mauritius</t>
  </si>
  <si>
    <t>http://president.govmu.org</t>
  </si>
  <si>
    <t>https://www.facebook.com/statehousemauritius/</t>
  </si>
  <si>
    <t>454-3021</t>
  </si>
  <si>
    <t>State House,, Reduit, Moka, Mauritius</t>
  </si>
  <si>
    <t>Stately Home</t>
  </si>
  <si>
    <t>[{'id': '654455208045685', 'name': 'Stately Home'}, {'id': '161422927240513', 'name': 'Government Organization'}, {'id': '1874409019452971', 'name': 'Locality'}]</t>
  </si>
  <si>
    <t>[{'id': '161422927240513', 'name': 'Government Organization'}, {'id': '369730359717478', 'name': 'Other'}]</t>
  </si>
  <si>
    <t>[{'id': '191921914160604', 'name': 'Educational Research Center'}]</t>
  </si>
  <si>
    <t>8, Safdarjung Lane, New Delhi 110011</t>
  </si>
  <si>
    <t>https://statehouse.gov.ng</t>
  </si>
  <si>
    <t>Tieman-Hubert-Coulibaly-THC-780940372005195</t>
  </si>
  <si>
    <t xml:space="preserve">Tiéman Hubert Coulibaly est un homme politique malien, chef d'entreprise et actuel Ministre de l'Administration Territoriale. </t>
  </si>
  <si>
    <t>https://www.facebook.com/Tieman-Hubert-Coulibaly-THC-780940372005195/</t>
  </si>
  <si>
    <t>{'street': 'Cumhurbaşkanlığı Külliyesi 06560 Beştepe-Ankara TURKEY'}</t>
  </si>
  <si>
    <t>tsogtbaatar.mn</t>
  </si>
  <si>
    <t>https://www.facebook.com/tsogtbaatar.damdin/</t>
  </si>
  <si>
    <t>14210 Ulaanbaatar, Mongolia</t>
  </si>
  <si>
    <t>TudorUlianovschi</t>
  </si>
  <si>
    <t>Tudor Ulianovschi</t>
  </si>
  <si>
    <t>https://ro.wikipedia.org/wiki/Tudor_Ulianovschi</t>
  </si>
  <si>
    <t>Tudor Ulianovschi  din 10 ianuarie 2018 deține funcția de Ministru al Afacerilor Externe și Integrării Europene al Republicii Moldova</t>
  </si>
  <si>
    <t>https://www.facebook.com/TudorUlianovschi/</t>
  </si>
  <si>
    <t>نعمل من أجل الحفاظ على سيادة تونس والدفاع عن مصالحها وتعزيز اشعاعها وحماية مواطنيها في الخارج</t>
  </si>
  <si>
    <t xml:space="preserve">حكومة الامارات الذكية
UAE Mgovernment
</t>
  </si>
  <si>
    <t>Монгол Ардын Намын дарга, Монгол Улсын 30 дах Ерөнхий Сайд Ухнаагийн Хүрэлсүхийг дэмжигч хуудас</t>
  </si>
  <si>
    <t>Улаанбаатар хотод төрсөн. Батлан хамгаалахын их сургууль, Удирдлагын хөгжлийн институт, МУИС-ийн Хууль зүйн дээд сургуулийг тус тус төгссөн. Улс төр судлаач, төрийн удирдлагын арга зүйч, эрх зүйч мэргэжилтэй.
Монголын ардын армийн 152-р ангид улс төрийн удирдагч, МАХН-ын Төв хороонд улс төрийн ажилтан, УИХ дахь МАХН-ын бүлэгт зөвлөх, МАХН-ын дэргэдэх “Залуучууд-Хөгжил” төвийн ерөнхий захирал, МАСЗХ-ны Ерөнхийлөгч, УИХ дахь МАХН-ын бүлэгт Нийгмийн бодлогын зөвлөх, Монгол Улсын Засгийн газрын гишүүн, Мэргэжлийн хяналтын асуудал эрхэлсэн сайд, Монгол Улсын Засгийн газрын гишүүн, Онцгой байдлын асуудал эрхэлсэн сайдаар ажилласан.
2000, 2004, 2012 оны сунгуулиудаар Монгол Улсын Их Хурлын гишүүнээр гураван удаа сонгогдон ажилласан.
2008 оны 12 дугаар сараас 2012 он хүртэл Монгол Ардын Намын Ерөнхий нарийн бичгийн даргаар сонгогдон ажилласан.
2017 оноос Монгол Ардын Намын дарга, Монгол Улсын Ерөнхий Сайдаар ажиллаж байна.</t>
  </si>
  <si>
    <t>https://www.facebook.com/ukhurelsukh/</t>
  </si>
  <si>
    <t>http://predsjednica.hr/</t>
  </si>
  <si>
    <t>[{'id': '161422927240513', 'name': 'Government Organization'}, {'id': '2706', 'name': 'Government Website'}]</t>
  </si>
  <si>
    <t>{'city': 'Oslo', 'country': 'Norway'}</t>
  </si>
  <si>
    <t>{'city': 'Panamá, Panama'}</t>
  </si>
  <si>
    <t>{'city': 'Suva', 'country': 'Fiji'}</t>
  </si>
  <si>
    <t xml:space="preserve">VGKatrinJakobsdottir  </t>
  </si>
  <si>
    <t>http://www.vg.is/</t>
  </si>
  <si>
    <t>Katrín Jakobsdóttir er formaður Vinstrihreyfingarinnar - græns framboðs og forsætisráðherra Íslands.</t>
  </si>
  <si>
    <t>https://www.facebook.com/VGKatrinJakobsdottir/</t>
  </si>
  <si>
    <t xml:space="preserve">Villa Soomaaliya waa hoyga Madaxweynaha Umadda Soomaaliyeed. Villa Soomaaliya waxaa ay ka mid tahay meelaha ugu caansan Soomaaliya, waxaa ayna hoy u tahay madaxweyne kasta oo soo mara Dalkeena Soomaaliya.
Villa Soomaaliya waxay ku taalaa degmada Warta-Nabadda ee magaalada Muqdisho, waxa ayna saaran tahay dhulka ugu sareeya ee magaalada.
</t>
  </si>
  <si>
    <t>8-ми септември 1991</t>
  </si>
  <si>
    <t>+389 (0) 2 3118 022</t>
  </si>
  <si>
    <t>Landmark &amp; Historical Place</t>
  </si>
  <si>
    <t>[{'id': '209889829023118', 'name': 'Landmark &amp; Historical Place'}, {'id': '161422927240513', 'name': 'Government Organization'}, {'id': '197097220301977', 'name': 'Historical Place'}]</t>
  </si>
  <si>
    <t>http://www.nzfirst.org.nz</t>
  </si>
  <si>
    <t>Winston Peters, Deputy Prime Minister and Leader of New Zealand First. Stories, news, updates &amp; photos. Please don't make personal attacks, spam, troll or be abusive on this page.</t>
  </si>
  <si>
    <t>https://www.facebook.com/winstonpeters/</t>
  </si>
  <si>
    <t>{'street': 'FREEPOST, Parliament Buildings, Wellington'}</t>
  </si>
  <si>
    <t>New Zealand First</t>
  </si>
  <si>
    <t>FREEPOST, Parliament Buildings, Wellington</t>
  </si>
  <si>
    <t>Poseł na Sejm RP</t>
  </si>
  <si>
    <t>{'city': 'Abuja', 'country': 'Nigeria', 'street': 'Tafawa Balewa House, Central Business District'}</t>
  </si>
  <si>
    <t>M. Soumeylou Boubeye MAIGA
Le Premier Ministre est le Chef du Gouvernement, à ce titre, il dirige et coordonne l'action gouvernementale.</t>
  </si>
  <si>
    <t>[{'id': '373543049350668', 'name': 'Political Organization'}]</t>
  </si>
  <si>
    <t>{'city': 'Conakry', 'country': 'Guinea', 'street': 'Primature'}</t>
  </si>
  <si>
    <t>AlassaneOuattara.prci</t>
  </si>
  <si>
    <t>http://www.facebook.com/141437513242756</t>
  </si>
  <si>
    <t>http://www.facebook.com/252932994776447</t>
  </si>
  <si>
    <t>http://www.facebook.com/709844565772844</t>
  </si>
  <si>
    <t>http://www.facebook.com/719556411587726</t>
  </si>
  <si>
    <t>http://www.facebook.com/1060823770653137</t>
  </si>
  <si>
    <t>http://www.facebook.com/1460326694047307</t>
  </si>
  <si>
    <t>http://www.facebook.com/1465830227055307</t>
  </si>
  <si>
    <t>http://www.facebook.com/1525028901158013</t>
  </si>
  <si>
    <t>http://www.facebook.com/1578931835519981</t>
  </si>
  <si>
    <t>http://www.facebook.com/1910787798948873</t>
  </si>
  <si>
    <t>https://facebook.com/pcoogov</t>
  </si>
  <si>
    <t>https://facebook.com/RaviKarunanayakeofficial</t>
  </si>
  <si>
    <t>https://facebook.com/gouvernement.lu</t>
  </si>
  <si>
    <t>https://facebook.com/cancilleriapma</t>
  </si>
  <si>
    <t>https://facebook.com/AlassaneOuattara.prci</t>
  </si>
  <si>
    <t>https://facebook.com/statehouse.freetown</t>
  </si>
  <si>
    <t>https://facebook.com/vanuatuogcio</t>
  </si>
  <si>
    <t>https://facebook.com/Charlot-Salwai-1645493972167563</t>
  </si>
  <si>
    <t>Prime Minister Charlot Salwai Tabimasmas</t>
  </si>
  <si>
    <t>https://facebook.com/Ralph-Regenvanu-160258983761</t>
  </si>
  <si>
    <t>Foreign Minister Ralph Regenvanu</t>
  </si>
  <si>
    <t>https://facebook.com/rimbinkpatomp</t>
  </si>
  <si>
    <t>Foreign Minister Rimbink Pato</t>
  </si>
  <si>
    <t>www.adosolutions.ci</t>
  </si>
  <si>
    <t>Page Facebook officielle d’Alassane Ouattara, Président de la République de Côte d’Ivoire.</t>
  </si>
  <si>
    <t>✔Le site Internet de la Présidence: http://www.presidence.ci/
✔Le site Internet AdoSolutions: http://www.adosolutions.ci/ado/home.php  
✔ La page Twitter AdoSolutions: https://twitter.com/ADO__Solutions</t>
  </si>
  <si>
    <t>https://www.facebook.com/AlassaneOuattara.prci/</t>
  </si>
  <si>
    <t>Page officielle d’Alassane Ouattara, Président de la République de Côte d’Ivoire.</t>
  </si>
  <si>
    <t>Président de la République de Côte d'Ivoire</t>
  </si>
  <si>
    <t>http://www.mire.gob.pa</t>
  </si>
  <si>
    <t xml:space="preserve">Cuenta Oficial del Ministerio de Relaciones Exteriores de la República de Panamá
Centro de Atención 311 </t>
  </si>
  <si>
    <t>https://www.facebook.com/cancilleriapma/</t>
  </si>
  <si>
    <t xml:space="preserve">Ejecutar los lineamientos de la política exterior mediante la negociación, cooperación y la defensa de los intereses del Estado panameño en el ámbito internacional, en beneficio de la ciudadanía y posicionándonos como un país de diálogo y mediación. </t>
  </si>
  <si>
    <t>Calle 3a Este, Panamá, Panama City, Panama</t>
  </si>
  <si>
    <t>Charlot-Salwai-1645493972167563</t>
  </si>
  <si>
    <t>Charlot Salwai</t>
  </si>
  <si>
    <t>https://www.facebook.com/Charlot-Salwai-1645493972167563/</t>
  </si>
  <si>
    <t>http://www.urm.lt</t>
  </si>
  <si>
    <t>Sveiki apsilankę oficialioje Lietuvos URM paskyroje.
Welcome to the official account of the Ministry of Foreign Affairs of Lithuania.</t>
  </si>
  <si>
    <t>Lietuvos Respublikos užsienio reikalų ministerija atstovauja Lietuvos Respublikos ir jos piliečių teisėtiems interesams ir juos gina tarptautinėse organizacijose ir užsienio valstybėse.  
***
Pasiliekame teisę pašalinti nekultūringus, nesusijusius su tema, pasirašytus kito asmens vardu, pažeidžiančius įstatymus, reklaminius, kurstančius neapykantą, smurtą, žeminančius žmogaus orumą ar valstybę komentarus.</t>
  </si>
  <si>
    <t>The mission of the Lithuanian Foreign Ministry is to ensure sovereignty and security of the state by diplomatic means, long-term sustainable development of the country and well-being of its citizens, to protect legitimate interests of Lithuanian citizens abroad, to contribute to export promotion and attract investment.</t>
  </si>
  <si>
    <t>8 5 236 2444</t>
  </si>
  <si>
    <t>J. Tumo-Vaižganto g. 2, LT-01511 Vilnius, Lithuania</t>
  </si>
  <si>
    <t>http://www.mofa.go.kr/eng/index.do</t>
  </si>
  <si>
    <t>Welcome to the Republic of Korea MOFA Facebook. The Ministry of Foreign Affairs reserves the right to delete inappropriate comments.</t>
  </si>
  <si>
    <t>https://pcoo.gov.ph/</t>
  </si>
  <si>
    <t>Communications Office of the President of the Philippines</t>
  </si>
  <si>
    <t>https://www.facebook.com/pcoogov/</t>
  </si>
  <si>
    <t>1005 Manila, Philippines</t>
  </si>
  <si>
    <t>Ilham Heydar oglu Aliyev was born on 24 December 1961 in Baku.
He attended a secondary school No. 6 in Baku from 1967 to 1977.
In 1977-1982, he studied at Moscow State University of International Relations (MSUIR).
In 1982, he embarked on postgraduate studies at MSUIR.
In 1985, he defended a thesis to receive a PhD degree in history.
From 1985 to 1990, he gave lectures at Moscow State University of International Relations.
In 1991-1994, he was engaged in a private business sector and headed several private industrial and commercial enterprises.
From 1994 to August 2003, he was vice-president and first vice-president of the State Oil Company of Azerbaijan Republic (SOCAR). He has been actively involved in the implementation of national leader Heydar Aliyev's oil strategy.
In 1995 and 2000, he was elected to the Milli Majlis (Parliament) of the Republic of Azerbaijan.
He has been president of the National Olympic Committee of Azerbaijan since 1997.
In 1999, he was elected as deputy chairman, in 2001 as first deputy chairman and in 2005 as chairman of the New Azerbaijan Party.
From 2001 to 2003, he headed the Azerbaijani Parliamentary delegation to the Parliamentary Assembly of the Council of Europe (PACE).
In January 2003, he was elected as deputy chairman of the Parliamentary Assembly of the Council of Europe and a member of the PACE Bureau.
On 4 August 2003, following the approval of the Milli Majlis, he was appointed as Prime Minister of the Republic of Azerbaijan. This terminated his power as a member of parliament.
On 15 October 2003, Ilham Aliyev was elected as President of the Republic of Azerbaijan with more than 76 percent of votes.
In 2004, he was awarded a medal and certificate of an honorary member of PACE.
On 15 October 2008, Ilham Aliyev was elected for the second term as President of the Republic of Azerbaijan, after gaining 88.73 per cent of votes.
As a result of the presidential election held on 9 October 2013, Ilham Aliyev was re-elected as President of the Republic of Azerbaijan with 84.54 per cent of votes.
Mr. Ilham Aliyev is fluent in Azerbaijani, Russian, English, French, and Turkish languages.
He is married and has three children and five grandchildren.</t>
  </si>
  <si>
    <t>국무조정실·국무총리비서실 공식 페이스북 페이지를 방문해주신 여러분, 환영합니다 ^^
이 페이스북은 
주요정책에 대한 토론, 아이디어 공모, 설문조사 등을 통해 
국민 여러분께서 자유롭게 의견을 주고받을 수 있는 
'쌍방향 소통의 장'으로 활용됩니다.
평소 쉽게 접할 수 없었던 
국무총리의 소소한 일상, 공식행사 뒷이야기 등도 
사진과 동영상으로 선보일 예정이오니, 
많은 관심과 참여를 부탁드립니다.
아울러, 해당 페이스북 페이지는 
아래와 같이 게시물 관리원칙을 적용하고 있사오니 
건전한 온라인 문화를 위해 협조를 부탁드립니다.
-----------------------------------------------------------------
&lt; 국무조정실·국무총리비서실 페이스북 게시물 관리원칙&gt;
1. 다음의 경우 예고 없이 삭제됩니다.
   * 허위사실 및 이를 유포한 경우 
  * 상업광고, 욕설, 음란성 글
  * 타인이나 단체 등을 비방, 모욕하는 글
  * 지역감정을 조장하는 글
  * 개인신상정보가 포함된 글
  * 같은 내용을 반복 게시하는 경우
  * 기타 사회통념 및 운영원칙에 어긋나는 글
2. 개인 및 단체 등의 민원은 
   국민신문고(www.epeople.go.kr)를 통해 
   접수해주시기 바랍니다. 
-----------------------------------------------------------------</t>
  </si>
  <si>
    <t>Ralph-Regenvanu-160258983761</t>
  </si>
  <si>
    <t>Ralph Regenvanu</t>
  </si>
  <si>
    <t>www.graonmojastis.org</t>
  </si>
  <si>
    <t>Member of Parliament for constituency of Port-Vila, Republic of Vanuatu. Elected as an Independent in 2008. Now President of new party Graon mo Jastis Pati ("Land and Justice Party")</t>
  </si>
  <si>
    <t>Ralph Regenvanu was elected to the national parliament of the Republic of Vanuatu as an independent candidate in the last general elections in 2008.  For 13 months between December 2010 and January 2012 he held three different Ministerial portfolios before being sacked for being the first Minister of State to ever vote against a Government bill (the bill for Vanuatu’s accession to the WTO).  Prior to his entry into politics, Mr. Regenvanu served as the director of the Vanuatu National Museum and Cultural Centre, Vanuatu’s principal cultural heritage management agency, for eleven years (1995-2006).</t>
  </si>
  <si>
    <t>https://www.facebook.com/Ralph-Regenvanu-160258983761/</t>
  </si>
  <si>
    <t>P.O. Box 1189</t>
  </si>
  <si>
    <t>Changing the system, music</t>
  </si>
  <si>
    <t>BP1189, NA Port-Vila</t>
  </si>
  <si>
    <t>http://www.ravikarunanayake.com</t>
  </si>
  <si>
    <t>Official Page of Ravi Karunanayake</t>
  </si>
  <si>
    <t>Sandresh Ravindra Karunanayake born on 19th February 1963 in Colombo to Tissa Karunanayake and Carmaleka Karunanayake. The eldest son in a family of two. Was educated at St. Thomas’ Preparatory School in Kollupitiya and Royal College, Colombo 7 and thereafter proceeded to follow a course in Chartered Management Accountancy.
He commenced his working career at Delair Limited, and moved on to Hayleys Group and MIT Air Cargo Limited where he gained a wealth of experience which enabled him to reach the heights in the world of business and entrepreneurship as Chairman of US Global Lanka (Private) Limited, Director/Chief Executive Officer - Vacume Processing Lanka Limited, Global Transportation &amp; Logistics (Private) Limited, Director - Eagle Air International (Private) Limited and Global Air &amp; Tours (Private) Limited. He is also an Active Member of the Federation of the Chamber Movement in order to strengthen the Industrial and the Businessmen in Sri Lanka.
Ravi Karunanayake first entered the 10th Parliament of the Democratic Socialist Republic of Sri Lanka in 1994 being the youngest member to be appointed from the National List. In the year 2000 he was elected to the 11th Parliament from the Colombo District, and once again at the General Election held in the year 2001 Ravi Karunanayake was elected to the 12th Parliament from the Colombo District.
On 12th December 2001, he was appointed as Minister of Commerce and Consumer Affairs in the United National Party Government of Hon. Ranil Wickremasinghe, Prime Minister and the President being Her Excellency Chandrika Kumaranatunga.
In the year 1999 he was presented the Award of “Young Outstanding Politician of the Year” which was organized by the International Jaycees and in the same year Ravi Karunanayake was elected as the “Politician and Public Administrator of the Year” by the Colombo Jaycees.
In the area of his political career Ravi Karunanayake presently holds the position of Chairman – Foreign Affairs Committee for the United National Party. He was also appointed as the United National Party Leader for the Colombo District. He is also the Chairman of the Institute of Democracy and Leadership.
He has a very illustrious Parliamentary career being a member of the Committee on Public Enterprises (COPE), Consultative Committee Member on Defence, Consultative Committee Member on Finance, Policy Planning and National Integration, a Consultative Committee Member on Aviation &amp; Shipping and a Consultative Committee Member of Foreign Affairs. He was also a member of the Select Committee on Constitutional Reforms and a member of the Select Committee on Media Reforms.
Apart from his business, political and parliamentary career Ravi Karunanayake has been blessed with the talent of journalism and has been a regular contributor to newspapers and magazines in Sri Lanka and overseas in various prestigious professional Media Institutions and Associations in regard to Economic Affairs, Marketing, Business Management, Political Culture and Public Finance &amp; Taxation. He also participates on a regular basis in many debates and discussions – live and recorded, on television in Sinhala and English, covering current topics which include Business and Economic Affairs, Political Culture, Constitutional Reforms, Current Affairs, World Affairs etc.
Ravi is married to Mela and has three daughters Onella, Shenella and Minella. As the old adage goes “behind every successful man there is a woman” and this goes to prove that Mela has been a tower of strength to him. Apart from his hectic business, political and parliamentary life Ravi Karunanayake is also a “family man” and spends considerable time with his family.
He is indeed a man one could look up to for sound advice and guidance.</t>
  </si>
  <si>
    <t>https://www.facebook.com/RaviKarunanayakeofficial/</t>
  </si>
  <si>
    <t xml:space="preserve">Official Facebook Page of Hon Ravi Karunanayake the Minister of Finance of the Democratic Socialist Republic of Sri Lanka. Deputy Leader, Leader of Colombo District and the Chief Organiser of Colombo North Electorate for the United National Party of Sri Lanka. </t>
  </si>
  <si>
    <t>1291/6, Rajamalwatte Road, 10120 Battaramulla</t>
  </si>
  <si>
    <t>rimbinkpatomp</t>
  </si>
  <si>
    <t>Hon. Rimbink Pato OBE MP</t>
  </si>
  <si>
    <t>https://www.unitedparty.org.pg/hon-rimbink-pato/</t>
  </si>
  <si>
    <t>Rimbink Pato is a Papua New Guinean constitutional lawyer and politician. He is Minister for Foreign Affairs and Trade in the government of Peter O'Neill</t>
  </si>
  <si>
    <t>Born in the village of Kopya Pausa in Wapenamanda, he began life in a humble home with no electricity.
His father was a church and community leader and his mother a homemaker. They identified his early promise, and encouraged him at school. He did so well he went to university and qualified as a lawyer.
Soon, he was managing partner of Steeles Lawyers in Port Moresby, a position he held for more than 20 years. Minister Pato also founded his own firm "Pato's Lawyers".
Now a major political figure, he heads a political party, the United Party, which stands against corruption and puts forwards policies that promote the well-being of all people in PNG.
Rimbink Pato and his wife, Joyce Pato, are parents to three children. One of their personal interests in their leisure time is to sponsor reading materials to combat illiteracy.</t>
  </si>
  <si>
    <t>https://www.facebook.com/rimbinkpatomp/</t>
  </si>
  <si>
    <t>United Party, Papua New Guinea</t>
  </si>
  <si>
    <t>Elected to the 10th National Parliament in the Wapenamanda Open seat as the United Party candidate. 
Appointed Minister for Foreign Affairs and Trade in the O'Neill-Abel Cabinet following the formation of this, the 10th Parliament in August 2017. This is Minister Pato's 2nd Term in the PNG Parliament.
Minister Rimbink Pato has won a reputation as a highly effective and trusted leader in Papua New Guinea. His contribution to his electorate and his country are becoming legendary.
He is renowned for his expertise in law, the PNG constitution, international relations, business, and his honest service to his electorate and nation.</t>
  </si>
  <si>
    <t>+675 327 7520</t>
  </si>
  <si>
    <t>National Parliament P O Parliament House WAIGANI, Port Moresby, Papua New Guinea</t>
  </si>
  <si>
    <t>statehouse.freetown</t>
  </si>
  <si>
    <t>https://www.facebook.com/statehouse.freetown/</t>
  </si>
  <si>
    <t>vanuatuogcio</t>
  </si>
  <si>
    <t>Vanuatu Office of the Government CIO</t>
  </si>
  <si>
    <t>http://ogcio.gov.vu</t>
  </si>
  <si>
    <t>Vanuatu OGCIO</t>
  </si>
  <si>
    <t>https://www.facebook.com/vanuatuogcio/</t>
  </si>
  <si>
    <t>http://www.facebook.com/160258983761</t>
  </si>
  <si>
    <t>http://www.facebook.com/159985111389242</t>
  </si>
  <si>
    <t>http://www.facebook.com/1517270458584084</t>
  </si>
  <si>
    <t>http://www.facebook.com/1538497069791280</t>
  </si>
  <si>
    <t>http://www.facebook.com/1645493972167563</t>
  </si>
  <si>
    <t>https://facebook.com/CancilleriaVE</t>
  </si>
  <si>
    <t>Prime Minister Mark Brantley</t>
  </si>
  <si>
    <t>Use App</t>
  </si>
  <si>
    <t>Shop Now</t>
  </si>
  <si>
    <t>Send Message</t>
  </si>
  <si>
    <t>Sign Up</t>
  </si>
  <si>
    <t>Contact Us</t>
  </si>
  <si>
    <t>Watch Video</t>
  </si>
  <si>
    <t>Learn More</t>
  </si>
  <si>
    <t>Video</t>
  </si>
  <si>
    <t>Cover</t>
  </si>
  <si>
    <t>Send Email</t>
  </si>
  <si>
    <t>Our Story</t>
  </si>
  <si>
    <t>LindiweSisuluSA</t>
  </si>
  <si>
    <t>Video!</t>
  </si>
  <si>
    <t>Call Now</t>
  </si>
  <si>
    <t>https://facebook.com/Bundeskanzleramt.gv.at</t>
  </si>
  <si>
    <t>https://facebook.com/urministerija</t>
  </si>
  <si>
    <t>No Cover</t>
  </si>
  <si>
    <t>https://facebook.com/MateuszMorawieckiPremier</t>
  </si>
  <si>
    <t>Contact Us (Twitter)</t>
  </si>
  <si>
    <t>Very responsive</t>
  </si>
  <si>
    <t>Sign Up (Telegram)</t>
  </si>
  <si>
    <t>Sign Up (YouTube)</t>
  </si>
  <si>
    <t>Sign Up (Twitter)</t>
  </si>
  <si>
    <t>Visit Group</t>
  </si>
  <si>
    <t>Responsiveness</t>
  </si>
  <si>
    <t>Replied to message</t>
  </si>
  <si>
    <t>Button</t>
  </si>
  <si>
    <t>Automated reply</t>
  </si>
  <si>
    <t>Automated reply, Welcome message</t>
  </si>
  <si>
    <t>Day</t>
  </si>
  <si>
    <t>Sent</t>
  </si>
  <si>
    <t>Minutes</t>
  </si>
  <si>
    <t>Hour</t>
  </si>
  <si>
    <t>Few Hours</t>
  </si>
  <si>
    <t>Instantly</t>
  </si>
  <si>
    <t>Very Reponsive</t>
  </si>
  <si>
    <t>Sent, Welcome Message</t>
  </si>
  <si>
    <t>Dr the Hon Hubert A. Minnis</t>
  </si>
  <si>
    <t>https://facebook.com/Dr-the-Hon-Hubert-A-Minnis-61258077512</t>
  </si>
  <si>
    <t>Forseti Íslands</t>
  </si>
  <si>
    <t>https://facebook.com/embaettiforseta</t>
  </si>
  <si>
    <t>Igor Crnadak</t>
  </si>
  <si>
    <t>Foreign Minister Igor Crnadak</t>
  </si>
  <si>
    <t>https://facebook.com/Igor-Crnadak-125367794733621</t>
  </si>
  <si>
    <t>Brigadier David Granger</t>
  </si>
  <si>
    <t>https://facebook.com/Brigadier-David-Granger-136913633027025</t>
  </si>
  <si>
    <t>Mari Alkatiri</t>
  </si>
  <si>
    <t>Prime Minister Mari Alkatiri</t>
  </si>
  <si>
    <t>https://facebook.com/alkatiri.mari</t>
  </si>
  <si>
    <t>https://facebook.com/JOMAVpaginaoficial</t>
  </si>
  <si>
    <t>https://facebook.com/Evo-Morales-Ayma-145070396007399</t>
  </si>
  <si>
    <t>https://facebook.com/Barrow-PORG-189258704928602</t>
  </si>
  <si>
    <t>https://facebook.com/SimonCoveney</t>
  </si>
  <si>
    <t>https://facebook.com/presidentpierrenkurunziza</t>
  </si>
  <si>
    <t>https://facebook.com/MinrelChile</t>
  </si>
  <si>
    <t>https://facebook.com/MFAUZB</t>
  </si>
  <si>
    <t>Ulisses Correia E Silva</t>
  </si>
  <si>
    <t>Prime Minister Ulisses Correia E Silva</t>
  </si>
  <si>
    <t>https://facebook.com/ulissescorreiaesilva</t>
  </si>
  <si>
    <t>Bundespräsident Frank-Walter Steinmeier</t>
  </si>
  <si>
    <t>https://facebook.com/Bundespraesident.Steinmeier</t>
  </si>
  <si>
    <t>Prime Minister Ahmed Ouyahia</t>
  </si>
  <si>
    <t>https://facebook.com/Ahmed-Ouyahia-%D8%A7%D9%84%D9%88%D8%B2%D9%8A%D8%B1-%D8%A7%D9%84%D8%A3%D9%88%D9%84-517608345237500</t>
  </si>
  <si>
    <t>https://facebook.com/PresidentDrErnestBaiKoroma</t>
  </si>
  <si>
    <t>U Htin Kyaw</t>
  </si>
  <si>
    <t>President U Htin Kyaw</t>
  </si>
  <si>
    <t>https://facebook.com/U-Htin-Kyaw-1097909980337498</t>
  </si>
  <si>
    <t>Primeiro-Ministro, José Ulisses Correia e Silva</t>
  </si>
  <si>
    <t>Prime Minister José Ulisses Correia e Silva</t>
  </si>
  <si>
    <t>https://facebook.com/UlissesCorreiaSilva</t>
  </si>
  <si>
    <t>https://facebook.com/RaimondsVejonis</t>
  </si>
  <si>
    <t>https://facebook.com/Ph%E1%BA%A1m-B%C3%ACnh-Minh-919861878132744</t>
  </si>
  <si>
    <t>https://facebook.com/prezidentskypalac</t>
  </si>
  <si>
    <t>https://facebook.com/LindiweSisuluSA</t>
  </si>
  <si>
    <t>MFAUZB</t>
  </si>
  <si>
    <t>https://www.facebook.com/heiko.maas.98/</t>
  </si>
  <si>
    <t>https://facebook.com/heiko.maas.98</t>
  </si>
  <si>
    <t>Foreign Minister Heiko Maas</t>
  </si>
  <si>
    <t>Few hours</t>
  </si>
  <si>
    <t>{'source': 'https://scontent.xx.fbcdn.net/v/t31.0-8/s720x720/10511532_1539767942926787_392264183681991193_o.jpg?oh=810d7f83812af2258f30687de542a5a4&amp;oe=5AFF963B', 'offset_x': 0, 'id': '1539767942926787', 'cover_id': '1539767942926787', 'offset_y': 0}</t>
  </si>
  <si>
    <t>%E6%B2%B3%E9%87%8E%E5%A4%AA%E9%83%8E-168727046514485</t>
  </si>
  <si>
    <t>{'city': 'Chiyoda-ku', 'state': 'Tokyo', 'country': 'Japan', 'street': '2-1-2-1103 Nagata-cho, Chiyoda'}</t>
  </si>
  <si>
    <t>{'source': 'https://scontent.xx.fbcdn.net/v/t1.0-9/1002054_600079136712605_751156642_n.jpg?oh=c4a7198ec9f300631eff8bd5cef98686&amp;oe=5B4CBCCD', 'offset_x': 0, 'id': '600079136712605', 'cover_id': '600079136712605', 'offset_y': 18}</t>
  </si>
  <si>
    <t>{'zip': 'SW1A 2', 'longitude': -0.12642644719005, 'country': 'United Kingdom', 'street': '10 Downing Street', 'latitude': 51.503436287865, 'city': 'London'}</t>
  </si>
  <si>
    <t>{'source': 'https://scontent.xx.fbcdn.net/v/t31.0-0/p240x240/10476560_10152788678333453_5020345362737122960_o.jpg?oh=6dd0887429ca47cc116a729711cc2dcd&amp;oe=5B36CA63', 'offset_x': 62, 'id': '10152788678333453', 'cover_id': '10152788678333453', 'offset_y': 0}</t>
  </si>
  <si>
    <t>{'source': 'https://scontent.xx.fbcdn.net/v/t31.0-8/s720x720/19693365_1415635175188997_6673470444994192526_o.jpg?oh=b20615c2384b37c6f16d51c0e82db7a2&amp;oe=5B0465AE', 'offset_x': 0, 'id': '1415635175188997', 'cover_id': '1415635175188997', 'offset_y': 26}</t>
  </si>
  <si>
    <t>{'city': 'Dhaka', 'zip': '1215', 'street': "Prime Minister's Office"}</t>
  </si>
  <si>
    <t>{'source': 'https://scontent.xx.fbcdn.net/v/t31.0-8/s720x720/28827566_1845414882200384_2681485980332643178_o.jpg?oh=bf0dedb2316b7f04cbc28695d2cddafc&amp;oe=5B2EF6DE', 'offset_x': 0, 'id': '1845414882200384', 'cover_id': '1845414882200384', 'offset_y': 0}</t>
  </si>
  <si>
    <t>{'source': 'https://scontent.xx.fbcdn.net/v/t1.0-0/p180x540/18620143_1424995887539786_4214085832427417007_n.jpg?oh=c9bccbefff692ec1a9e359f9c082e115&amp;oe=5B4676B1', 'offset_x': 0, 'id': '1424995887539786', 'cover_id': '1424995887539786', 'offset_y': 36}</t>
  </si>
  <si>
    <t>{'source': 'https://scontent.xx.fbcdn.net/v/t1.0-9/s720x720/1505310_685399804859959_5487324978990736376_n.png?oh=4b109a2fba145ff7320c681baa51f283&amp;oe=5B4D3D16', 'offset_x': 20, 'id': '685399804859959', 'cover_id': '685399804859959', 'offset_y': 0}</t>
  </si>
  <si>
    <t>{'source': 'https://scontent.xx.fbcdn.net/v/t1.0-9/s720x720/13177740_1089415321105213_4800003155002452656_n.jpg?oh=805fd59e3a6592bbc506b9915dea8df5&amp;oe=5B352456', 'offset_x': 0, 'id': '1089415321105213', 'cover_id': '1089415321105213', 'offset_y': 0}</t>
  </si>
  <si>
    <t>{'city': 'Valletta', 'zip': 'VLT 1171', 'country': 'Malta', 'street': 'Ministeru għall-Affarijiet Barranin u l-Promozzjoni tal-Kummerċ, Palazzo Parisio, Triq il-Merkanti'}</t>
  </si>
  <si>
    <t>{'source': 'https://scontent.xx.fbcdn.net/v/t31.0-8/s720x720/24831533_1795688407397544_8654313919117596034_o.jpg?oh=e3d6102ee0bb5ae01010a8f40056c013&amp;oe=5B33EFD2', 'offset_x': 0, 'id': '1795688407397544', 'cover_id': '1795688407397544', 'offset_y': 36}</t>
  </si>
  <si>
    <t>{'source': 'https://scontent.xx.fbcdn.net/v/t1.0-9/s720x720/14316757_937717916332473_1484847779082001338_n.jpg?oh=c4d03339848f6a0cd179b678d2aa4f07&amp;oe=5B362B9C', 'offset_x': 0, 'id': '937717916332473', 'cover_id': '937717916332473', 'offset_y': 16}</t>
  </si>
  <si>
    <t>{'source': 'https://scontent.xx.fbcdn.net/v/t31.0-8/s720x720/458465_377799828950870_1935628794_o.jpg?oh=618eb43f2dae3666277a291813893120&amp;oe=5B42D56D', 'offset_x': 0, 'id': '377799828950870', 'cover_id': '377799828950870', 'offset_y': 71}</t>
  </si>
  <si>
    <t>{'city': 'Triesen', 'zip': '9495', 'country': 'Liechtenstein'}</t>
  </si>
  <si>
    <t>{'source': 'https://scontent.xx.fbcdn.net/v/t31.0-8/s720x720/10506917_329049353929117_4289436100047764143_o.jpg?oh=e9ec9ae6a3a6d9762d7984892ad3a44b&amp;oe=5B38DB0D', 'offset_x': 0, 'id': '329049353929117', 'cover_id': '329049353929117', 'offset_y': 24}</t>
  </si>
  <si>
    <t>{'city': 'Kabul', 'longitude': 69.12535, 'country': 'Afghanistan', 'street': 'Sapedar palace, Sulh Road, Kabul, Afghanistan0093702103333', 'latitude': 34.53156}</t>
  </si>
  <si>
    <t>{'source': 'https://scontent.xx.fbcdn.net/v/t31.0-8/s720x720/25073049_2009371575940989_7735103927883784255_o.jpg?oh=060302967897600d3a32e88bb82881c9&amp;oe=5B3B0A09', 'offset_x': 0, 'id': '2009371575940989', 'cover_id': '2009371575940989', 'offset_y': 0}</t>
  </si>
  <si>
    <t>{'source': 'https://scontent.xx.fbcdn.net/v/t31.0-0/p240x240/16107269_453611131429821_4895265055711735913_o.jpg?oh=997872a1b563024f5b0b4ccbd2d0d09d&amp;oe=5B3FF5C3', 'offset_x': 50, 'id': '453611131429821', 'cover_id': '453611131429821', 'offset_y': 0}</t>
  </si>
  <si>
    <t>Ahmed-Ouyahia-%D8%A7%D9%84%D9%88%D8%B2%D9%8A%D8%B1-%D8%A7%D9%84%D8%A3%D9%88%D9%84-517608345237500</t>
  </si>
  <si>
    <t>Ahmed Ouyahia الوزير الأول</t>
  </si>
  <si>
    <t>https://www.facebook.com/Ahmed-Ouyahia-الوزير-الأول-517608345237500/</t>
  </si>
  <si>
    <t>{'source': 'https://scontent.xx.fbcdn.net/v/t1.0-9/20799410_517795221885479_6003776603113618476_n.jpg?oh=62048b7a0046b1625b052d87e6ed83a6&amp;oe=5B49708B', 'offset_x': 0, 'id': '517795221885479', 'cover_id': '517795221885479', 'offset_y': 47}</t>
  </si>
  <si>
    <t xml:space="preserve">Официальная страница Пресс-службы Президента Республики Казахстан
Официальный сайт http://akorda.kz
</t>
  </si>
  <si>
    <t>{'source': 'https://scontent.xx.fbcdn.net/v/t31.0-8/s720x720/13055130_797586750385712_3925864109523280244_o.jpg?oh=1e3a85bed178ae2a0dce7eab0a55d6dc&amp;oe=5B363C91', 'offset_x': 0, 'id': '797586750385712', 'cover_id': '797586750385712', 'offset_y': 16}</t>
  </si>
  <si>
    <t>{'source': 'https://scontent.xx.fbcdn.net/v/t31.0-8/s720x720/23467109_1584942298265212_4890138775504577427_o.jpg?oh=7ec6aa9eb4bf384e2d752fbb97cff1ee&amp;oe=5B413CB6', 'offset_x': 0, 'id': '1584942298265212', 'cover_id': '1584942298265212', 'offset_y': 50}</t>
  </si>
  <si>
    <t>{'source': 'https://scontent.xx.fbcdn.net/v/t1.0-0/p480x480/28870113_10156317649283559_8948811132856958976_n.jpg?oh=38e728fe98543060ef3a3da903f02520&amp;oe=5B3027A3', 'offset_x': 0, 'id': '10156317649273559', 'cover_id': '10156317649273559', 'offset_y': 50}</t>
  </si>
  <si>
    <t>{'zip': '1000', 'longitude': 19.831729582958, 'country': 'Albania', 'street': 'Bulevardi Gjergj Fishta, Nr. 6', 'latitude': 41.329813930645, 'city': 'Tirana'}</t>
  </si>
  <si>
    <t>{'source': 'https://scontent.xx.fbcdn.net/v/t1.0-9/s720x720/23244485_1539101102871390_9144574560749914681_n.jpg?oh=6891085384052a9c13c6d623dff83560&amp;oe=5B3F835E', 'offset_x': 0, 'id': '1539101102871390', 'cover_id': '1539101102871390', 'offset_y': 0}</t>
  </si>
  <si>
    <t>{'fri_1_open': '08:00', 'tue_1_open': '08:00', 'mon_1_close': '16:30', 'mon_1_open': '08:00', 'tue_1_close': '16:30', 'wed_1_open': '08:00', 'thu_1_open': '08:00', 'wed_1_close': '16:30', 'fri_1_close': '16:30', 'thu_1_close': '16:30'}</t>
  </si>
  <si>
    <t>{'source': 'https://scontent.xx.fbcdn.net/v/t31.0-8/s720x720/20689974_1647325201979182_2557644091097122112_o.jpg?oh=6b78d5ea01d3cbcc76b2a59c2b43b1a7&amp;oe=5B04560F', 'offset_x': 0, 'id': '1647325201979182', 'cover_id': '1647325201979182', 'offset_y': 5}</t>
  </si>
  <si>
    <t>{'source': 'https://scontent.xx.fbcdn.net/v/t1.0-9/s720x720/16195935_1332968903390955_6885425396926773852_n.jpg?oh=e82c63801ab088e5a68f5f134c7daff0&amp;oe=5B4DBCF5', 'offset_x': 1000, 'id': '1332968903390955', 'cover_id': '1332968903390955', 'offset_y': 0}</t>
  </si>
  <si>
    <t>alkatiri.mari</t>
  </si>
  <si>
    <t>Moris iha Dili, Timor-Leste iha 26 Novembro 1949. Secretariu Geral FRETILIN. Xefe Ministru iha governu transitoriu, Setembru 2001 to’o 20 Maiu 2002, no hori 20 Maiu 2002 to’o 26 Junhu 2006 Primeiru Ministru Primeiru RDTL.</t>
  </si>
  <si>
    <t>https://www.facebook.com/alkatiri.mari/</t>
  </si>
  <si>
    <t>{'street': 'Dili, Timor-Leste'}</t>
  </si>
  <si>
    <t>{'source': 'https://scontent.xx.fbcdn.net/v/t31.0-8/s720x720/16797045_1582762768417770_8295547017700817578_o.jpg?oh=64eef02d3463f65db221599b8c1dd2c2&amp;oe=5B3AA8D4', 'offset_x': 0, 'id': '1582762768417770', 'cover_id': '1582762768417770', 'offset_y': 50}</t>
  </si>
  <si>
    <t>FRETILIN</t>
  </si>
  <si>
    <t>{'longitude': -60.951826572418, 'latitude': 14.078347834033}</t>
  </si>
  <si>
    <t>{'source': 'https://scontent.xx.fbcdn.net/v/t31.0-8/s720x720/27788149_1993087674279732_3091492009875023722_o.jpg?oh=6f9c5c6def7158cba98c98c8436c9ed8&amp;oe=5B2F73FB', 'offset_x': 0, 'id': '1993087674279732', 'cover_id': '1993087674279732', 'offset_y': 91}</t>
  </si>
  <si>
    <t>{'city': 'São Paulo', 'state': 'SP', 'country': 'Brazil'}</t>
  </si>
  <si>
    <t>{'source': 'https://scontent.xx.fbcdn.net/v/t31.0-8/s720x720/17492287_1479367548771642_8009969461761007734_o.jpg?oh=3ae722a779b17a291bf781f27ebe5121&amp;oe=5B42F1B4', 'offset_x': 61, 'id': '1479367548771642', 'cover_id': '1479367548771642', 'offset_y': 0}</t>
  </si>
  <si>
    <t>{'source': 'https://scontent.xx.fbcdn.net/v/t1.0-9/s720x720/12743697_1531542347146277_1607365356824326549_n.jpg?oh=46bf453f588838429cf0dbb0885404d1&amp;oe=5B3CF2DE', 'offset_x': 0, 'id': '1531542347146277', 'cover_id': '1531542347146277', 'offset_y': 5}</t>
  </si>
  <si>
    <t>{'source': 'https://scontent.xx.fbcdn.net/v/t1.0-9/s720x720/26734276_2313181752041484_6735231605974450169_n.jpg?oh=e9ea82549ccb2270c267d3968d5da8a1&amp;oe=5B43EC91', 'offset_x': -800, 'id': '2313181752041484', 'cover_id': '2313181752041484', 'offset_y': 0}</t>
  </si>
  <si>
    <t>{'source': 'https://scontent.xx.fbcdn.net/v/t1.0-9/s720x720/28166526_1528344530622413_3792548113876613865_n.jpg?oh=12cfc859f81314494f55f5efe40859c0&amp;oe=5B2F7276', 'offset_x': -7250, 'id': '1528344530622413', 'cover_id': '1528344530622413', 'offset_y': 0}</t>
  </si>
  <si>
    <t>http://www.education.go.ke</t>
  </si>
  <si>
    <t>OFFICIAL PAGE OF AMB.  AMINA C. MOHAMED, CBS, CAV
CABINET SECRETARY FOR EDUCATION OF THE REPUBLIC OF KENYA
(Views are my own)</t>
  </si>
  <si>
    <t>{'city': 'Nairobi', 'zip': '00100', 'country': 'Kenya', 'street': 'Box 30551'}</t>
  </si>
  <si>
    <t>{'source': 'https://scontent.xx.fbcdn.net/v/t31.0-8/s720x720/12916901_508494006024640_3793629269826940222_o.jpg?oh=e37cdfd229090591e7ff3f1cadd21933&amp;oe=5B361752', 'offset_x': 0, 'id': '508494006024640', 'cover_id': '508494006024640', 'offset_y': 50}</t>
  </si>
  <si>
    <t>{'source': 'https://scontent.xx.fbcdn.net/v/t1.0-0/p480x480/22815124_10156515825007366_4401010543919807557_n.jpg?oh=0f900c32ca9d8abcba8bcb3354be0ade&amp;oe=5B498863', 'offset_x': 0, 'id': '10156515825007366', 'cover_id': '10156515825007366', 'offset_y': 67}</t>
  </si>
  <si>
    <t>{'source': 'https://scontent.xx.fbcdn.net/v/t1.0-9/s720x720/18301500_1519751828066746_6700771382820178622_n.jpg?oh=d9982b0e1bff73d79ffdaebab856f170&amp;oe=5B480120', 'offset_x': 0, 'id': '1519751828066746', 'cover_id': '1519751828066746', 'offset_y': 0}</t>
  </si>
  <si>
    <t>Prezident Slovenskej republiky. Spoluzakladateľ charitatívnej organizácie Dobrý Anjel a spoločností Triangel a Quatro. Je druhýkrát ženatý a má 5 deti.
Andrej Kiska vyštudoval Elektrotechnickú fakultu Slovenskej technickej univerzity v Bratislave.
Po ukončení štúdia pracoval ako projektant a v roku 1990 odišiel skúšať šťastie do USA s plánom natrvalo sa tam usadiť. Po roku a pol sa však vrátil na Slovensko s veľkou chuťou podnikať. Založil svoju prvú spoločnosť, ktorá sa zaoberala dovozom, veľkoobchodom a maloobchodom so šperkmi.
V roku 1996 spoluzakladal spoločnosť Tatracredit, s.r.o., ktorá realizovala katalógový splátkový systém Triangel a neskôr aj splátkový systém Quatro. Triangel a Quatro sa stali najväčšími splátkovými systémami na Slovensku. V roku 2005 kúpila všetky tieto spoločnosti VÚB banka.
Andrej Kiska sa rozhodol zasvätiť svoj život charite. Spolu s priateľom založil v roku 2006 neziskovú organizáciu Dobrý Anjel, ktorá pomáha rodinám s deťmi, ktoré sa vinou závažného, život ohrozujúceho ochorenia dostali do ťažkej finančnej situácie. Počas siedmich rokov svojej činnosti Dobrý Anjel vyzbieral a do posledného centu prerozdelil vyše 19,5 milióna EUR a pomohol viac ako 5 600 rodinám s deťmi. Dobrý Anjel je dnes najúspešnejšia nefiremná charita na Slovensku.</t>
  </si>
  <si>
    <t>{'source': 'https://scontent.xx.fbcdn.net/v/t31.0-8/s720x720/10329764_580383425415773_8288893663401676498_o.jpg?oh=4de1ab3b64b8bf0870350f869d593fd7&amp;oe=5B4A57F8', 'offset_x': 0, 'id': '580383425415773', 'cover_id': '580383425415773', 'offset_y': 0}</t>
  </si>
  <si>
    <t>{'source': 'https://scontent.xx.fbcdn.net/v/t1.0-9/s720x720/28575723_1835657386446104_5958232489012725533_n.jpg?oh=dd4055f9c7516348e071255d3a1b0669&amp;oe=5B4A0739', 'offset_x': 0, 'id': '1835657386446104', 'cover_id': '1835657386446104', 'offset_y': 0}</t>
  </si>
  <si>
    <t>{'source': 'https://scontent.xx.fbcdn.net/v/t1.0-9/s720x720/11391442_1125919024091670_397594014821085742_n.jpg?oh=f5a4d622bff879ca05e7be97692dc575&amp;oe=5B31C098', 'offset_x': 0, 'id': '1125919024091670', 'cover_id': '1125919024091670', 'offset_y': 0}</t>
  </si>
  <si>
    <t>{'source': 'https://scontent.xx.fbcdn.net/v/t1.0-0/p480x480/29262065_10155216540667050_1552019194420133888_o.jpg?oh=f059222cec1f2d92f9e86f7fdc2bdbf1&amp;oe=5B019CD7', 'offset_x': 0, 'id': '10155216540657050', 'cover_id': '10155216540657050', 'offset_y': 38}</t>
  </si>
  <si>
    <t>{'source': 'https://scontent.xx.fbcdn.net/v/t31.0-8/s720x720/15326202_1395049890527918_6792380204634907475_o.jpg?oh=4742581278d98a046ff6b3e1e130e436&amp;oe=5B45BA4B', 'offset_x': 0, 'id': '1395049890527918', 'cover_id': '1395049890527918', 'offset_y': 0}</t>
  </si>
  <si>
    <t>{'source': 'https://scontent.xx.fbcdn.net/v/t31.0-8/s720x720/26060478_1223151827784862_3303240952134783337_o.jpg?oh=ac5f61ea98b67988314aa02a262a2d1a&amp;oe=5B2E6A7C', 'offset_x': 0, 'id': '1223151827784862', 'cover_id': '1223151827784862', 'offset_y': 50}</t>
  </si>
  <si>
    <t>{'zip': '00000', 'street': 'Sir George Walter Highway'}</t>
  </si>
  <si>
    <t>{'source': 'https://scontent.xx.fbcdn.net/v/t31.0-8/s720x720/12489351_1310940225598129_4451321751925972213_o.jpg?oh=da145078ba2f6621f05cc033fddbe94e&amp;oe=5B378399', 'offset_x': 0, 'id': '1310940225598129', 'cover_id': '1310940225598129', 'offset_y': 32}</t>
  </si>
  <si>
    <t>{'fri_1_open': '08:00', 'tue_1_open': '08:00', 'mon_1_close': '16:30', 'mon_1_open': '08:00', 'tue_1_close': '16:30', 'wed_1_open': '08:00', 'thu_1_open': '08:00', 'wed_1_close': '16:30', 'fri_1_close': '15:00', 'thu_1_close': '16:30'}</t>
  </si>
  <si>
    <t>{'source': 'https://scontent.xx.fbcdn.net/v/t1.0-9/10352254_1437484909844566_5579159383594766038_n.jpg?oh=69e1b1ad83664f7622a2f5cce929c3b0&amp;oe=5B04E724', 'offset_x': 0, 'id': '1437484909844566', 'cover_id': '1437484909844566', 'offset_y': 85}</t>
  </si>
  <si>
    <t>{'city': 'Lilongwe', 'zip': '+265', 'country': 'Malawi', 'street': 'Kamuzu Palace'}</t>
  </si>
  <si>
    <t>{'source': 'https://scontent.xx.fbcdn.net/v/t1.0-9/s720x720/14717292_1330364086988132_5301254497634445381_n.jpg?oh=84e99f7c0f9df7ef23f0f470e37cd0d3&amp;oe=5B3FD0B6', 'offset_x': 50, 'id': '1330364086988132', 'cover_id': '1330364086988132', 'offset_y': 0}</t>
  </si>
  <si>
    <t>{'source': 'https://scontent.xx.fbcdn.net/v/t31.0-8/s720x720/12362822_1491658084470713_1451687718863520152_o.jpg?oh=26d953c6889142fd8cf7456414574946&amp;oe=5B4CC163', 'offset_x': 0, 'id': '1491658084470713', 'cover_id': '1491658084470713', 'offset_y': 0}</t>
  </si>
  <si>
    <t>{'source': 'https://scontent.xx.fbcdn.net/v/t1.0-9/23795092_942114212606989_6640962208845102394_n.jpg?oh=cc1cccac9426b42d63c61a2c65758b31&amp;oe=5B4B0AB8', 'offset_x': 133, 'id': '942114212606989', 'cover_id': '942114212606989', 'offset_y': 0}</t>
  </si>
  <si>
    <t>{'source': 'https://scontent.xx.fbcdn.net/v/t31.0-8/s720x720/13723929_1043557419053833_6730884730464540652_o.jpg?oh=d9360fe11e6a58c94a2ee88bd542bdb6&amp;oe=5B0274D4', 'offset_x': 0, 'id': '1043557419053833', 'cover_id': '1043557419053833', 'offset_y': 27}</t>
  </si>
  <si>
    <t>{'source': 'https://scontent.xx.fbcdn.net/v/t1.0-9/s720x720/10933950_10152749981178292_7752330210998119877_n.png?oh=1f14668705229772ad117a0844fa56de&amp;oe=5B409327', 'offset_x': 0, 'id': '10152749981178292', 'cover_id': '10152749981178292', 'offset_y': 0}</t>
  </si>
  <si>
    <t>{'source': 'https://scontent.xx.fbcdn.net/v/t1.0-0/p480x480/13015228_10154143004203421_2775714931008222869_n.jpg?oh=8195ff777c775ef7f027606003fe42ea&amp;oe=5B42F39E', 'offset_x': 0, 'id': '10154143004203421', 'cover_id': '10154143004203421', 'offset_y': 37}</t>
  </si>
  <si>
    <t>{'zip': '1010', 'longitude': 16.36469, 'country': 'Austria', 'street': 'Minoritenplatz 8', 'latitude': 48.20934, 'city': 'Vienna'}</t>
  </si>
  <si>
    <t>{'source': 'https://scontent.xx.fbcdn.net/v/t31.0-8/s720x720/26198108_1602739233143235_4039919807580090865_o.jpg?oh=2dc9f9d91086d6ba70b1e1e0b941e987&amp;oe=5B34DAFD', 'offset_x': 0, 'id': '1602739233143235', 'cover_id': '1602739233143235', 'offset_y': 0}</t>
  </si>
  <si>
    <t>{'zip': '10117', 'longitude': 13.39852, 'country': 'Germany', 'street': 'Werderscher Markt 1', 'latitude': 52.51537, 'city': 'Berlin'}</t>
  </si>
  <si>
    <t>{'source': 'https://scontent.xx.fbcdn.net/v/t31.0-8/s720x720/28616688_1552693504827814_1621276061115854942_o.jpg?oh=f8bdb80a6377a0ffe620ad21aae75a35&amp;oe=5B458E76', 'offset_x': 0, 'id': '1552693504827814', 'cover_id': '1552693504827814', 'offset_y': 37}</t>
  </si>
  <si>
    <t>{'source': 'https://scontent.xx.fbcdn.net/v/t31.0-8/s720x720/22496252_1839259952781108_2711145031239947907_o.jpg?oh=1cc55af22d3e22bdc32ee9b0cd15d7fa&amp;oe=5B4579EE', 'offset_x': 0, 'id': '1839259952781108', 'cover_id': '1839259952781108', 'offset_y': 42}</t>
  </si>
  <si>
    <t>Barrow-PORG-189258704928602</t>
  </si>
  <si>
    <t>Barrow PORG</t>
  </si>
  <si>
    <t>www.statehouse.gov.gm</t>
  </si>
  <si>
    <t xml:space="preserve">I was elected UDP flagbearer on the 1st September 2016.Led Coalition 2016 as Presidential Candidate in Oct. 2016 and elected President on the 1st Dec 2016 </t>
  </si>
  <si>
    <t>https://www.facebook.com/Barrow-PORG-189258704928602/</t>
  </si>
  <si>
    <t>{'city': 'Banjul', 'country': 'The Gambia', 'street': 'State House'}</t>
  </si>
  <si>
    <t>{'source': 'https://scontent.xx.fbcdn.net/v/t31.0-8/s720x720/28061506_329046554283149_8449382610098154304_o.jpg?oh=e29bee4ee5b1a6d2f1bbcd19e609313c&amp;oe=5B0093AF', 'offset_x': 0, 'id': '329046554283149', 'cover_id': '329046554283149', 'offset_y': 0}</t>
  </si>
  <si>
    <t>State House, Banjul, Gambia</t>
  </si>
  <si>
    <t>{'source': 'https://scontent.xx.fbcdn.net/v/t31.0-8/s720x720/12309784_881582961940986_7350319394788666616_o.jpg?oh=705f3c8b73f489a4cea7c0f1348c140b&amp;oe=5B4285C3', 'offset_x': 76, 'id': '881582961940986', 'cover_id': '881582961940986', 'offset_y': 0}</t>
  </si>
  <si>
    <t>{'zip': '06520', 'longitude': 32.81559, 'country': 'Turkey', 'street': 'Ceyhun Atıf Kansu Caddesi No:122 Balgat', 'latitude': 39.89067, 'city': 'Çankaya'}</t>
  </si>
  <si>
    <t>{'source': 'https://scontent.xx.fbcdn.net/v/t31.0-8/s720x720/21167729_1538275012882639_446489117055491544_o.png?oh=bd96889e4e2f38baaee9ef3a4cb71260&amp;oe=5B3E8569', 'offset_x': 188, 'id': '1538275012882639', 'cover_id': '1538275012882639', 'offset_y': 0}</t>
  </si>
  <si>
    <t>{'source': 'https://scontent.xx.fbcdn.net/v/t1.0-0/p480x480/12188954_888583817905395_6572414134267035383_n.jpg?oh=1dbf97513e84f57365b4fa76ee72194c&amp;oe=5B4CEF8C', 'offset_x': 0, 'id': '888583817905395', 'cover_id': '888583817905395', 'offset_y': 64}</t>
  </si>
  <si>
    <t>{'source': 'https://scontent.xx.fbcdn.net/v/t31.0-0/p180x540/15590799_10157877462365153_6124005321407703812_o.jpg?oh=26e05789266e5922ca7a76c73887fcbd&amp;oe=5B3242AD', 'offset_x': 0, 'id': '10157877462365153', 'cover_id': '10157877462365153', 'offset_y': 20}</t>
  </si>
  <si>
    <t>{'source': 'https://scontent.xx.fbcdn.net/v/t31.0-8/s720x720/10662111_548441508628846_6911931000064165865_o.jpg?oh=4edc0b05d272564ea2d7331aee09cb0b&amp;oe=5B029309', 'offset_x': 0, 'id': '548441508628846', 'cover_id': '548441508628846', 'offset_y': 0}</t>
  </si>
  <si>
    <t>{'city': 'Brussels', 'zip': '1000', 'country': 'Belgium', 'street': 'Wetstraat 16 rue de la Loi'}</t>
  </si>
  <si>
    <t>{'source': 'https://scontent.xx.fbcdn.net/v/t31.0-0/p480x480/27628941_1738520092870674_6342766678694275195_o.jpg?oh=e72252fe2037af2e32f1b14451a04a52&amp;oe=5B3612DF', 'offset_x': 0, 'id': '1738520092870674', 'cover_id': '1738520092870674', 'offset_y': 24}</t>
  </si>
  <si>
    <t>{'source': 'https://scontent.xx.fbcdn.net/v/t31.0-8/s720x720/13576731_1703489066581393_5190402104834423892_o.jpg?oh=dca429ec75a6cd37780cd8e384d9f5ab&amp;oe=5B3AC1FA', 'offset_x': 0, 'id': '1703489066581393', 'cover_id': '1703489066581393', 'offset_y': 11}</t>
  </si>
  <si>
    <t>{'source': 'https://scontent.xx.fbcdn.net/v/t31.0-8/s720x720/24132106_528229144206783_4774706820439917328_o.jpg?oh=622ee70d6301ada6b50f16b17f8f8cb3&amp;oe=5B4810F7', 'offset_x': 0, 'id': '528229144206783', 'cover_id': '528229144206783', 'offset_y': 77}</t>
  </si>
  <si>
    <t>{'source': 'https://scontent.xx.fbcdn.net/v/t1.0-9/s720x720/26166447_1811268178915780_5761332172060206702_n.png?oh=9c42a3d790846da519b19e4a6830c23f&amp;oe=5B3E4AF1', 'offset_x': 0, 'id': '1811268178915780', 'cover_id': '1811268178915780', 'offset_y': 0}</t>
  </si>
  <si>
    <t>{'city': 'Thimphu', 'zip': '11001', 'longitude': 89.6, 'country': 'Bhutan', 'latitude': 27.4833}</t>
  </si>
  <si>
    <t>{'source': 'https://scontent.xx.fbcdn.net/v/t1.0-9/q81/s720x720/1393860_663265837037322_1927180622_n.jpg?oh=e04c17526b9c8cddcd02f1f19511c064&amp;oe=5B49EA9D', 'offset_x': 0, 'id': '663265837037322', 'cover_id': '663265837037322', 'offset_y': 0}</t>
  </si>
  <si>
    <t>[{'id': '147714868971098', 'name': 'Public &amp; Government Service'}, {'id': '161422927240513', 'name': 'Government Organization'}, {'id': '176831012360626', 'name': 'Professional Service'}]</t>
  </si>
  <si>
    <t>{'city': 'Bandar Seri Begawan', 'longitude': 114.940822525, 'country': 'Brunei', 'street': 'Jalan Perdana Menteri', 'latitude': 4.926021625}</t>
  </si>
  <si>
    <t>{'source': 'https://scontent.xx.fbcdn.net/v/t1.0-9/s720x720/1601423_701131283272565_102656406_n.jpg?oh=c036ca72459345a957012987986e88a3&amp;oe=5B40D667', 'offset_x': 0, 'id': '701131283272565', 'cover_id': '701131283272565', 'offset_y': 0}</t>
  </si>
  <si>
    <t>{'sat_2_close': '16:30', 'tue_1_open': '07:45', 'mon_2_close': '16:30', 'wed_2_close': '16:30', 'wed_1_open': '07:45', 'wed_2_open': '13:30', 'thu_2_open': '13:30', 'tue_2_close': '16:30', 'mon_2_open': '13:30', 'thu_1_close': '12:15', 'sat_1_close': '12:15', 'tue_2_open': '13:30', 'mon_1_open': '07:45', 'tue_1_close': '12:15', 'mon_1_close': '12:15', 'thu_1_open': '07:45', 'wed_1_close': '12:15', 'sat_1_open': '07:45', 'thu_2_close': '16:30', 'sat_2_open': '13:30'}</t>
  </si>
  <si>
    <t>{'source': 'https://scontent.xx.fbcdn.net/v/t1.0-9/16266260_10154378222851317_4509742376008322464_n.jpg?oh=d689de792e3d6632946555aa8db610b5&amp;oe=5B00EB1E', 'offset_x': 0, 'id': '10154378222851317', 'cover_id': '10154378222851317', 'offset_y': 30}</t>
  </si>
  <si>
    <t>{'city': 'Ljubljana', 'zip': 'SI - 1000 Ljubljana', 'country': 'Slovenia', 'street': 'Erjavčeva 17'}</t>
  </si>
  <si>
    <t>{'source': 'https://scontent.xx.fbcdn.net/v/t31.0-8/s720x720/22792140_10155969523082859_4747485810917792766_o.jpg?oh=85f7ea71bc8cd4c35de4aad7a0b5d4f0&amp;oe=5B4B55E8', 'offset_x': 0, 'id': '10155969523082859', 'cover_id': '10155969523082859', 'offset_y': 0}</t>
  </si>
  <si>
    <t>{'zip': '00267', 'longitude': 24.609375, 'country': 'Botswana', 'street': 'Private Bag 001', 'latitude': -28.921631282421, 'city': 'Gaborone'}</t>
  </si>
  <si>
    <t>{'source': 'https://scontent.xx.fbcdn.net/v/t1.0-0/p180x540/29196148_1616385485110770_5726471267167502336_n.jpg?oh=df4f0eee03a8a2866f506b34fc99ff85&amp;oe=5B44B644', 'offset_x': 0, 'id': '1616385481777437', 'cover_id': '1616385481777437', 'offset_y': 47}</t>
  </si>
  <si>
    <t>{'source': 'https://scontent.xx.fbcdn.net/v/t31.0-8/s720x720/10838246_915529691836665_4565677185711503160_o.png?oh=2afeae7c9a01f0af7a4d4c984d16a910&amp;oe=5B3E05FF', 'offset_x': 0, 'id': '915529691836665', 'cover_id': '915529691836665', 'offset_y': 50}</t>
  </si>
  <si>
    <t>Brigadier-David-Granger-136913633027025</t>
  </si>
  <si>
    <t>http://www.motp.gov.gy/</t>
  </si>
  <si>
    <t>Security.  Education.  Enterprise.</t>
  </si>
  <si>
    <t xml:space="preserve">David Granger retired from military service with the rank of a Brigadier in 1994 after serving as National Security Adviser to the President (1990-94), and as Commander of the Guyana Defence Force (1979-90).
After leaving Queen’s College, where he was a member of the Queen’s College Cadet Corps, Brigadier Granger joined the GDF as an officer cadet in 1965, and was commissioned as a Second Lieutenant in 1966.  He received his professional military training at the Army Command and Staff College in Nigeria; the Jungle Warfare Instruction Centre in Brazil; and the School of Infantry and the Mons Officer Cadet School, respectively, in the United Kingdom.
During Brigadier Granger's military service, he held a variety of appointments including planning officer for the establishment of the Guyana National Service (1973-74), and the Guyana People’s Militia (1976-77).  Brigadier Granger also led military delegations to Brazil, Cuba, Germany, Guinea, the Democratic People's Republic of Korea, Somalia and Yugoslavia.
Brigadier Granger graduated with the Master of Social Science Degree in Political Science, and the Bachelor of Arts Degree in History, from the University of Guyana, and the post-graduate diploma in International Relations from the University of the West Indies.  He was also an International Fellow on the Defence Planning and Resource Management Seminar at the Center for Hemispheric Defense Studies of the National Defense University and attended the Counterterrorism Educators’ Workshop at the Joint Special Operations University, Florida, USA.
Brigadier Granger has presented several papers on defence and security topics to international and national academic conferences including: “Civil Violence, Domestic Terrorism and Internal Security in Guyana, 1953-2003”; “Convention and Convenience: A Preliminary Study of Women Soldiers in the Anglophone Caribbean with Special Reference to the Women’s Army Corps of the Guyana Defence Force, 1967-2002”; and, "Defence and Diplomacy in the Subordinate System: The Experience of Guyana”.
David Granger is a former member of the Disciplined Forces Commission; Co-Chairman of the Border and National Security Committee; Member of the National Security Strategy Planning Committee; Chairman of the Central Intelligence Committee; Member of the National Drug Law Enforcement Committee; and Member of the Guyana Defence Board.
Brigadier Granger received the Military Service Star; Military Service Medal; Efficiency Medal; Border Defence Medal; and other service awards. </t>
  </si>
  <si>
    <t>https://www.facebook.com/Brigadier-David-Granger-136913633027025/</t>
  </si>
  <si>
    <t>{'city': 'Georgetown', 'country': 'Guyana'}</t>
  </si>
  <si>
    <t>{'source': 'https://scontent.xx.fbcdn.net/v/t31.0-8/s720x720/1909538_897494570302257_688463719043460434_o.jpg?oh=745e5d5d081acc6f6c2d6bcc6a0b0a1e&amp;oe=5B3CEF3A', 'offset_x': 0, 'id': '897494570302257', 'cover_id': '897494570302257', 'offset_y': 24}</t>
  </si>
  <si>
    <t>{'zip': '1010', 'longitude': 16.36378, 'country': 'Austria', 'street': 'Ballhausplatz 2', 'latitude': 48.20838, 'city': 'Vienna'}</t>
  </si>
  <si>
    <t>{'source': 'https://scontent.xx.fbcdn.net/v/t31.0-8/s720x720/27797472_1711188015627695_1783242218070139572_o.jpg?oh=c48aa15839925862a4659a8be9f269d8&amp;oe=5B477894', 'offset_x': 0, 'id': '1711188015627695', 'cover_id': '1711188015627695', 'offset_y': 46}</t>
  </si>
  <si>
    <t>Bundespraesident.Steinmeier</t>
  </si>
  <si>
    <t>http://www.bundespraesident.de</t>
  </si>
  <si>
    <t>Dies ist die offizielle Seite von Bundespräsident Steinmeier. Die Pflege der Seite macht ein "Team Bundespräsident".</t>
  </si>
  <si>
    <t>https://www.facebook.com/Bundespraesident.Steinmeier/</t>
  </si>
  <si>
    <t>{'zip': '10557', 'longitude': 13.35268, 'country': 'Germany', 'street': 'Spreeweg 1', 'latitude': 52.51631, 'city': 'Berlin'}</t>
  </si>
  <si>
    <t>{'source': 'https://scontent.xx.fbcdn.net/v/t31.0-8/s720x720/19143772_453921438312252_1778746716415752093_o.jpg?oh=5a3ba669b0050947c179e6993a11d322&amp;oe=5B3348EE', 'offset_x': 0, 'id': '453921438312252', 'cover_id': '453921438312252', 'offset_y': 32}</t>
  </si>
  <si>
    <t>Liebe Nutzerinnen und Nutzer,
herzlich willkommen auf dem Profil des Bundespräsidenten. Diese Seite informiert über die Arbeit des Bundespräsidenten, sie gibt Einblicke in aktuelle Vorhaben und Aktivitäten des Bundespräsidenten und ist ein Forum für den Austausch mit Bürgerinnen und Bürgern. Der Bundespräsident wird bei der Betreuung und Pflege dieser Seite von Mitarbeiterinnen und Mitarbeitern unterstützt (kurz: Team Bundespräsident).
Der Bundespräsident hat als Verfassungsorgan eine besondere Rolle im Staatsaufbau der Bundesrepublik Deutschland und damit auch im gesellschaftlichen Diskurs. Die parteipolitische Neutralität und Integrationsfunktion sind dabei von zentraler Bedeutung. Dieses Grundverständnis ist auch Grundlage dieses Facebook-Profils und Basis für den Austausch mit Ihnen.
Ein respektvolles Miteinander ist wie überall die Grundlage für einen konstruktiven Dialog. Rechtswidrige Beiträge können nicht toleriert werden. Ebenso haben Werbung oder Spam-Beiträge keinen Platz auf dieser Seite.
Respektvolle Diskussion
Der Austausch zwischen Bürgerinnen und Bürgern lebt von respektvollem Umgang miteinander. Das gilt im analogen Leben wie im digitalen. Bitte achten Sie daher auf einen fairen und höflichen Ton. Denken Sie bitte daran, dass Sie es hier mit Menschen zu tun haben, die mit Ihnen ins Gespräch kommen. Behandeln Sie ihre Mitmenschen bitte so, wie Sie selbst behandelt werden möchten.
Äußern Sie gerne Ihre Meinung, aber verzichten Sie auf persönliche Angriffe. Beleidigungen, sexistische, homo- und transphobe, fremdenfeindliche, rassistische oder antisemitische Beiträge sind inakzeptabel. Gleiches gilt für Beiträge mit vulgärer, missbräuchlicher oder hasserfüllter Sprache sowie gewaltverherrlichende und menschenverachtende Beiträge.
Bitte haben Sie Verständnis, dass wir uns im Interesse und zum Schutz der Mitarbeiterinnen und Mitarbeiter das Recht vorbehalten, Beiträge mit namentlicher Nennung von Mitarbeiterinnen und Mitarbeitern ggf. zu löschen.
Rechtswidrige Beiträge
Äußerungen und Beiträge, die gegen geltendes Recht verstoßen, werden gelöscht.
Spamming, Werbung und themenfremde Kommentare
Klar erkennbare Spam-Kommentare, Kettenbriefe oder Junkmails haben keinen Platz auf diesem Profil. Wir bitten Sie darum, darauf zu verzichten. Die Facebook-Seite des Bundespräsidenten ist keine Werbeplattform. Bitte missbrauchen Sie die Seite nicht zu kommerziellen Zwecken und unterlassen Sie das Anbieten von Waren und Dienstleistungen. Spam und Werbung werden entfernt. Um einen sinnvollen Dialog zu ermöglichen, sollten Ihre Kommentare stets einen direkten Bezug zum Thema des jeweiligen Posts haben. Themenfremde Beiträge sollten vermieden werden. Dies gilt vor allem für das wiederholte Posten der immer gleichen Kommentare unter verschiedenen Beiträgen.
Verantwortlichkeit der Nutzerinnen und Nutzer
Alle Nutzerinnen und Nutzer tragen für die von ihnen publizierten Beiträge selbst die Verantwortung. Der Bundespräsident und das Bundespräsidialamt übernehmen explizit keine Verantwortung für die Beiträge der Nutzerinnen und Nutzer.
Durch Ihre Interaktion mit der Facebook-Präsenz des Bundespräsidenten erkennen Sie diese Richtlinien an.
Wir danken Ihnen für Ihr Verständnis und freuen uns auf den Austausch mit Ihnen!</t>
  </si>
  <si>
    <t>Spreeweg 1, 10557 Berlin, Germany</t>
  </si>
  <si>
    <t>{'zip': '10117', 'longitude': 13.38374, 'country': 'Germany', 'street': 'Dorotheenstraße 84', 'latitude': 52.51851, 'city': 'Berlin'}</t>
  </si>
  <si>
    <t>{'source': 'https://scontent.xx.fbcdn.net/v/t31.0-0/p480x480/27982968_1631337803624616_6961795023015783437_o.jpg?oh=8cb154739a7667727161f7a469480550&amp;oe=5B3E43EB', 'offset_x': 0, 'id': '1631337803624616', 'cover_id': '1631337803624616', 'offset_y': 54}</t>
  </si>
  <si>
    <t>{'zip': '03 BP 7038 Ouaga', 'longitude': -1.5074443817139, 'country': 'Burkina Faso', 'street': "Avenue du Burkina, Ministère des Affaires Etrangères, de la Coopération et des Burkinabè de l'Exterieur", 'latitude': 12.37057301892, 'city': 'Ouagadougou'}</t>
  </si>
  <si>
    <t>{'source': 'https://scontent.xx.fbcdn.net/v/t31.0-8/s720x720/11538148_1431872787138235_1225158526986524437_o.jpg?oh=5b76fe94f2c58faff19a8069ae1c56a7&amp;oe=5AFFBA15', 'offset_x': 0, 'id': '1431872787138235', 'cover_id': '1431872787138235', 'offset_y': 100}</t>
  </si>
  <si>
    <t>{'fri_1_open': '07:30', 'tue_1_open': '07:30', 'mon_1_close': '16:00', 'mon_1_open': '07:30', 'tue_1_close': '16:00', 'wed_1_open': '07:30', 'thu_1_open': '07:30', 'wed_1_close': '16:00', 'fri_1_close': '16:30', 'thu_1_close': '16:00'}</t>
  </si>
  <si>
    <t>{'source': 'https://scontent.xx.fbcdn.net/v/t31.0-8/s720x720/25358435_1612800685424893_2174630856588846212_o.jpg?oh=f232d15623e1423ace0a8f49627c5d30&amp;oe=5B3FB467', 'offset_x': 0, 'id': '1612800685424893', 'cover_id': '1612800685424893', 'offset_y': 22}</t>
  </si>
  <si>
    <t>{'city': 'Ottawa', 'zip': 'K1A 0G2', 'street': '125 Sussex Drive'}</t>
  </si>
  <si>
    <t>{'source': 'https://scontent.xx.fbcdn.net/v/t31.0-0/p240x240/16796953_1628277800521505_2996582510461687244_o.jpg?oh=ef31ac33ec4c87f774e452bed5fdade7&amp;oe=5B3907BE', 'offset_x': 59, 'id': '1628277800521505', 'cover_id': '1628277800521505', 'offset_y': 0}</t>
  </si>
  <si>
    <t>{'state': 'ON', 'longitude': -75.69614, 'country': 'Canada', 'street': '125 Sussex Drive', 'latitude': 45.43705, 'city': 'Ottawa', 'zip': 'K1A 0G2', 'located_in': '123499767694789'}</t>
  </si>
  <si>
    <t>{'source': 'https://scontent.xx.fbcdn.net/v/t31.0-0/p240x240/16903355_1160167770776882_7894430794198950067_o.jpg?oh=136eb0d7263d8f11aded481af78f291b&amp;oe=5B388DE3', 'offset_x': 62, 'id': '1160167770776882', 'cover_id': '1160167770776882', 'offset_y': 0}</t>
  </si>
  <si>
    <t>{'zip': 'MD 2033', 'longitude': 28.8575, 'country': 'Moldova', 'street': 'Piata Marii Adunari Nationale, 1', 'latitude': 47.0056, 'city': 'Chisinau'}</t>
  </si>
  <si>
    <t>{'source': 'https://scontent.xx.fbcdn.net/v/t1.0-9/16730348_898060003670348_6554836199822513420_n.jpg?oh=39caf2c6d7f7d3f6319553923814df81&amp;oe=5B2EAA88', 'offset_x': 0, 'id': '898060003670348', 'cover_id': '898060003670348', 'offset_y': 92}</t>
  </si>
  <si>
    <t>{'zip': 'C1007ABR', 'longitude': -58.3786, 'country': 'Argentina', 'street': 'Esmeralda 1212', 'latitude': -34.59375, 'city': 'Buenos Aires'}</t>
  </si>
  <si>
    <t>{'source': 'https://scontent.xx.fbcdn.net/v/t1.0-9/s720x720/25348497_1631083256954063_3873369217895195571_n.png?oh=152bae602a1cfedea9c73228168c1998&amp;oe=5B3E1C8C', 'offset_x': 600, 'id': '1631083256954063', 'cover_id': '1631083256954063', 'offset_y': 0}</t>
  </si>
  <si>
    <t>{'zip': '591', 'longitude': -68.133704066277, 'country': 'Bolivia', 'street': 'Plaza Murillo c. Ingavi esq. c. Junín', 'latitude': -16.494952836983, 'city': 'La Paz'}</t>
  </si>
  <si>
    <t>{'source': 'https://scontent.xx.fbcdn.net/v/t31.0-8/s720x720/28161395_601486200189904_5927907022659325328_o.jpg?_nc_cat=0&amp;oh=7412a3112f8fb65eaac721711a3a593a&amp;oe=5B40F00F', 'offset_x': 0, 'id': '601486200189904', 'cover_id': '601486200189904', 'offset_y': 0}</t>
  </si>
  <si>
    <t>{'fri_1_open': '08:30', 'tue_1_open': '08:30', 'mon_1_close': '18:30', 'mon_1_open': '08:30', 'tue_1_close': '18:30', 'wed_1_open': '08:30', 'thu_1_open': '08:30', 'wed_1_close': '18:30', 'fri_1_close': '18:30', 'thu_1_close': '18:30'}</t>
  </si>
  <si>
    <t>{'city': 'Bogotá', 'longitude': -74.074850922062, 'country': 'Colombia', 'street': 'Calle 10 # 5-51', 'latitude': 4.5963766637459}</t>
  </si>
  <si>
    <t>{'source': 'https://scontent.xx.fbcdn.net/v/t1.0-9/s720x720/12072665_1193794780637382_4024065833896582022_n.jpg?oh=218cc19a743cfa6ba96f2dd8ce5da7bd&amp;oe=5B3D4994', 'offset_x': 600, 'id': '1193794780637382', 'cover_id': '1193794780637382', 'offset_y': 0}</t>
  </si>
  <si>
    <t>[{'id': '161422927240513', 'name': 'Government Organization'}, {'id': '1032965636792826', 'name': 'Government Building'}, {'id': '373543049350668', 'name': 'Political Organization'}]</t>
  </si>
  <si>
    <t>{'zip': '10027-1000', 'longitude': -84.073173417643, 'country': 'Costa Rica', 'street': 'Avenida 7-9, Calle 11-13 San José', 'latitude': 9.9370643934567, 'city': 'San José', 'located_in': '135005336532499'}</t>
  </si>
  <si>
    <t>{'source': 'https://scontent.xx.fbcdn.net/v/t31.0-8/s720x720/12080289_840841639369815_7067184853875669797_o.jpg?oh=f400da062dd9b26dae7fe212d4f58ab6&amp;oe=5B4A7CFD', 'offset_x': 0, 'id': '840841639369815', 'cover_id': '840841639369815', 'offset_y': 0}</t>
  </si>
  <si>
    <t>{'fri_1_open': '08:00', 'tue_1_open': '08:00', 'mon_1_close': '16:00', 'mon_1_open': '08:00', 'tue_1_close': '16:00', 'wed_1_open': '08:00', 'thu_1_open': '08:00', 'wed_1_close': '16:00', 'fri_1_close': '16:00', 'thu_1_close': '16:00'}</t>
  </si>
  <si>
    <t>{'city': 'Quito', 'longitude': -78.497268067446, 'country': 'Ecuador', 'street': 'Quito - Ecuador. Carrión E176 y Av. 10 de Agosto', 'latitude': -0.2028215678521}</t>
  </si>
  <si>
    <t>{'source': 'https://scontent.xx.fbcdn.net/v/t1.0-9/s720x720/23319170_1567239390002536_5635191377151341358_n.jpg?oh=56abe3d4288714c5aca759b9e574b163&amp;oe=5B4AFC87', 'offset_x': 0, 'id': '1567239390002536', 'cover_id': '1567239390002536', 'offset_y': 0}</t>
  </si>
  <si>
    <t>{'fri_1_open': '08:30', 'tue_1_open': '08:30', 'mon_1_close': '17:00', 'mon_1_open': '08:30', 'tue_1_close': '17:00', 'wed_1_open': '08:30', 'thu_1_open': '08:30', 'wed_1_close': '17:00', 'fri_1_close': '17:00', 'thu_1_close': '17:00'}</t>
  </si>
  <si>
    <t>{'city': 'Lima', 'longitude': -77.0302963, 'country': 'Peru', 'latitude': -12.0488014}</t>
  </si>
  <si>
    <t>{'source': 'https://scontent.xx.fbcdn.net/v/t31.0-8/s720x720/26232562_1548433491904541_2929488976572369189_o.jpg?oh=4de44463007a94dcd66f0ca60ba2747e&amp;oe=5B3C513C', 'offset_x': 0, 'id': '1548433491904541', 'cover_id': '1548433491904541', 'offset_y': 0}</t>
  </si>
  <si>
    <t>{'city': 'Panama City', 'longitude': -79.4160385, 'country': 'Panama', 'street': 'Calle 3a Este, Panamá', 'latitude': 9.0589399}</t>
  </si>
  <si>
    <t>{'source': 'https://scontent.xx.fbcdn.net/v/t31.0-8/s720x720/19702861_704515089737119_6865611979755383349_o.jpg?oh=277cbc0a435d115ca2507c41d6e7ce67&amp;oe=5B0060B1', 'offset_x': 0, 'id': '704515089737119', 'cover_id': '704515089737119', 'offset_y': 43}</t>
  </si>
  <si>
    <t>http://mppre.gob.ve/</t>
  </si>
  <si>
    <t>Cuenta oficial del Ministerio del Poder Popular para Relaciones Exteriores de la República Bolivariana de Venezuela.</t>
  </si>
  <si>
    <t>https://www.facebook.com/CancilleriaVE/</t>
  </si>
  <si>
    <t>{'zip': '1010', 'longitude': -66.916126012802, 'country': 'Venezuela', 'street': 'Caracas', 'latitude': 10.507718329841, 'city': 'Caracas'}</t>
  </si>
  <si>
    <t>{'source': 'https://scontent.xx.fbcdn.net/v/t1.0-9/s720x720/21078342_682121021997865_860222809122940567_n.png?oh=85a9280baeb6416f643849836003d750&amp;oe=5B47270C', 'offset_x': 1200, 'id': '682121021997865', 'cover_id': '682121021997865', 'offset_y': 0}</t>
  </si>
  <si>
    <t>Página oficial de Facebook del Ministerio del Poder Popular para las Relaciones Exteriores</t>
  </si>
  <si>
    <t>Caracas, 1010 Caracas</t>
  </si>
  <si>
    <t>{'city': 'Maputo', 'zip': '2604', 'country': 'Mozambique', 'street': 'Avenida Belmiro Obadias Muianga'}</t>
  </si>
  <si>
    <t>{'source': 'https://scontent.xx.fbcdn.net/v/t1.0-9/s720x720/10455099_350175425176907_2687212018793824494_n.jpg?oh=ec86f3f86f319c577afe40c6fdc63409&amp;oe=5B038344', 'offset_x': 0, 'id': '350175425176907', 'cover_id': '350175425176907', 'offset_y': 11}</t>
  </si>
  <si>
    <t>{'zip': '520-2010', 'longitude': -84.055872968934, 'country': 'Costa Rica', 'street': 'San José, Costa Rica', 'latitude': 9.9226173560758, 'city': 'Zapote'}</t>
  </si>
  <si>
    <t>{'source': 'https://scontent.xx.fbcdn.net/v/t31.0-8/s720x720/21369039_1929355087090975_4285230262182185031_o.jpg?oh=55c701729ecf28b57bf6071fad95ae81&amp;oe=5B36D710', 'offset_x': 0, 'id': '1929355087090975', 'cover_id': '1929355087090975', 'offset_y': 66}</t>
  </si>
  <si>
    <t>2207-9380</t>
  </si>
  <si>
    <t>{'city': 'Tegucigalpa', 'longitude': -87.188282894234, 'country': 'Honduras', 'latitude': 14.08886602044}</t>
  </si>
  <si>
    <t>{'source': 'https://scontent.xx.fbcdn.net/v/t31.0-8/s720x720/28700741_1960875733956437_4059376349687661941_o.jpg?oh=882e950f0ba22937480f49a24ade4e45&amp;oe=5B4A3B7D', 'offset_x': 600, 'id': '1960875733956437', 'cover_id': '1960875733956437', 'offset_y': 0}</t>
  </si>
  <si>
    <t>{'zip': 'CABA 1064', 'longitude': -58.370778, 'country': 'Argentina', 'street': 'Balcarce 50', 'latitude': -34.608376, 'city': 'Buenos Aires'}</t>
  </si>
  <si>
    <t>{'source': 'https://scontent.xx.fbcdn.net/v/t31.0-8/s720x720/27797365_984925991683455_4605629992140356365_o.jpg?oh=21c4adbdfb0f63858fabc5c88a608cb8&amp;oe=5B48D3FD', 'offset_x': 0, 'id': '984925991683455', 'cover_id': '984925991683455', 'offset_y': 30}</t>
  </si>
  <si>
    <t>{'source': 'https://scontent.xx.fbcdn.net/v/t31.0-8/q83/s720x720/12486043_885314154921983_1494967890856499570_o.jpg?oh=90977b398227b3730936129da189d0d2&amp;oe=5B311624', 'offset_x': 100, 'id': '885314154921983', 'cover_id': '885314154921983', 'offset_y': 0}</t>
  </si>
  <si>
    <t>{'source': 'https://scontent.xx.fbcdn.net/v/t31.0-8/s720x720/19955992_1333425506774407_8848438974598758872_o.jpg?oh=d4d9204eb4e6fa266688ca1558e468c6&amp;oe=5B3A8DC6', 'offset_x': 50, 'id': '1333425506774407', 'cover_id': '1333425506774407', 'offset_y': 0}</t>
  </si>
  <si>
    <t>{'zip': '1000', 'longitude': 4.366614818573, 'country': 'Belgium', 'street': '16, rue de la Loi', 'latitude': 50.846123288052, 'city': 'Brussels'}</t>
  </si>
  <si>
    <t>{'source': 'https://scontent.xx.fbcdn.net/v/t31.0-8/s720x720/28700750_1772314186158305_6842885766448036270_o.jpg?oh=6e238b4c3831df05577afee0b00f1572&amp;oe=5B4DED38', 'offset_x': 0, 'id': '1772314186158305', 'cover_id': '1772314186158305', 'offset_y': 27}</t>
  </si>
  <si>
    <t>{'source': 'https://scontent.xx.fbcdn.net/v/t31.0-0/q82/p180x540/23669098_1645495775500716_6721181714758225230_o.jpg?oh=1faa304694ed29571990635ab2e05d7c&amp;oe=5B45B12A', 'offset_x': 0, 'id': '1645495775500716', 'cover_id': '1645495775500716', 'offset_y': 50}</t>
  </si>
  <si>
    <t>{'city': 'Iavoloha', 'zip': '102', 'street': "Palais d'Etat Iavoloha"}</t>
  </si>
  <si>
    <t>{'source': 'https://scontent.xx.fbcdn.net/v/t31.0-8/s720x720/27993724_1632825816796595_8237998036723572303_o.jpg?oh=95ba982275f38bdb31d5d37ba96b8f04&amp;oe=5B43E8F5', 'offset_x': 0, 'id': '1632825816796595', 'cover_id': '1632825816796595', 'offset_y': 35}</t>
  </si>
  <si>
    <t>{'source': 'https://scontent.xx.fbcdn.net/v/t1.0-9/s720x720/12241331_1010045349062889_6796353050790644639_n.png?oh=e4707430889d5e0dc261b7dca0ea8c9c&amp;oe=5B45C72D', 'offset_x': 0, 'id': '1010045349062889', 'cover_id': '1010045349062889', 'offset_y': 0}</t>
  </si>
  <si>
    <t>{'city': 'Quito', 'longitude': -78.54272712, 'country': 'Ecuador', 'street': 'San Salvador E6-49 y Eloy Alfaro', 'latitude': -0.25942911}</t>
  </si>
  <si>
    <t>{'source': 'https://scontent.xx.fbcdn.net/v/t31.0-0/p240x240/26840760_1820004744678715_7721734244119292554_o.jpg?oh=619dc97597d56981c9089219ff87ac60&amp;oe=5B2DBAF6', 'offset_x': 55, 'id': '1820004744678715', 'cover_id': '1820004744678715', 'offset_y': 0}</t>
  </si>
  <si>
    <t>{'longitude': -89.2396904, 'country': 'El Salvador', 'street': 'Alameda Doctor Manuel Enrique Araujo No 5500', 'latitude': 13.6846154, 'city': 'San Salvador', 'located_in': '218955918568'}</t>
  </si>
  <si>
    <t>{'source': 'https://scontent.xx.fbcdn.net/v/t31.0-8/s720x720/28619689_796102963917292_5767586825014499134_o.png?oh=40f40e2d128c8d203664213abe48f29c&amp;oe=5B413FCE', 'offset_x': 600, 'id': '796102963917292', 'cover_id': '796102963917292', 'offset_y': 0}</t>
  </si>
  <si>
    <t>{'source': 'https://scontent.xx.fbcdn.net/v/t1.0-9/s720x720/1014064_754539951285670_7951251989783311944_n.jpg?oh=22b4c5854378748179194685c1680399&amp;oe=5B4C65DE', 'offset_x': 0, 'id': '754539951285670', 'cover_id': '754539951285670', 'offset_y': 26}</t>
  </si>
  <si>
    <t>{'source': 'https://scontent.xx.fbcdn.net/v/t31.0-8/s720x720/465572_355607531157841_717251753_o.jpg?oh=b6ae64ebea01f155b1c8176ccd5f8185&amp;oe=5B380697', 'offset_x': 0, 'id': '355607531157841', 'cover_id': '355607531157841', 'offset_y': 0}</t>
  </si>
  <si>
    <t>{'city': 'Havana', 'longitude': -82.393770217895, 'country': 'Cuba', 'street': 'Calzada No. 360, e/ Avenida de los Presidentes y H, Vedado.', 'latitude': 23.14360574629}</t>
  </si>
  <si>
    <t>{'source': 'https://scontent.xx.fbcdn.net/v/t1.0-9/s720x720/25354043_1514809745303208_3832658990191184689_n.jpg?oh=3b073821e94ec11be7c7e1d142eb5de5&amp;oe=5B37F4C5', 'offset_x': 600, 'id': '1514809745303208', 'cover_id': '1514809745303208', 'offset_y': 0}</t>
  </si>
  <si>
    <t>{'zip': '1447', 'longitude': 33.3667, 'country': 'Cyprus', 'street': 'Presidential Palace Avenue', 'latitude': 35.1667, 'city': 'Nicosia'}</t>
  </si>
  <si>
    <t>{'source': 'https://scontent.xx.fbcdn.net/v/t1.0-9/417802_381162818661736_599769088_n.jpg?oh=42badfa95c3eac1b94ed725e57982e1d&amp;oe=5B4DFAD5', 'offset_x': 0, 'id': '381162818661736', 'cover_id': '381162818661736', 'offset_y': 56}</t>
  </si>
  <si>
    <t>{'source': 'https://scontent.xx.fbcdn.net/v/t31.0-8/s720x720/26685162_10159725987435577_5193135085077665106_o.jpg?oh=27a6b000a3f8acd1a300f643fc1d3a75&amp;oe=5B46D781', 'offset_x': 0, 'id': '10159725987435577', 'cover_id': '10159725987435577', 'offset_y': 64}</t>
  </si>
  <si>
    <t>{'source': 'https://scontent.xx.fbcdn.net/v/t1.0-0/p180x540/545221_414007295345565_1806813354_n.jpg?oh=1419462539a65d4bd1a5dbafe3564f58&amp;oe=5B4A6E24', 'offset_x': 0, 'id': '414007295345565', 'cover_id': '414007295345565', 'offset_y': 28}</t>
  </si>
  <si>
    <t>{'source': 'https://scontent.xx.fbcdn.net/v/t1.0-9/s720x720/13925295_10154456781893139_108313175488713747_n.jpg?oh=9c7bbcb7f41445ef5d13d2fac4909e90&amp;oe=5B046D58', 'offset_x': 0, 'id': '10154456781893139', 'cover_id': '10154456781893139', 'offset_y': 0}</t>
  </si>
  <si>
    <t>{'source': 'https://scontent.xx.fbcdn.net/v/t31.0-8/s720x720/16587112_196782764132186_303162692145882737_o.jpg?oh=74702cc7898daa0d42eed0d5a4777dae&amp;oe=5B453238', 'offset_x': 0, 'id': '196782764132186', 'cover_id': '196782764132186', 'offset_y': 38}</t>
  </si>
  <si>
    <t>{'source': 'https://scontent.xx.fbcdn.net/v/t1.0-9/s720x720/16473107_1827381774170008_316009188742700575_n.png?oh=f6b2ddc37af2ecad5dc1f40cec3752e9&amp;oe=5B4BF20F', 'offset_x': 0, 'id': '1827381774170008', 'cover_id': '1827381774170008', 'offset_y': 0}</t>
  </si>
  <si>
    <t>{'longitude': 12.5890999, 'latitude': 55.6745796}</t>
  </si>
  <si>
    <t>{'source': 'https://scontent.xx.fbcdn.net/v/t1.0-9/s720x720/27751448_10155147054646674_964108321923512975_n.jpg?oh=d7ec7ad0c4d89b5448c7667fd83c18a3&amp;oe=5B2DF328', 'offset_x': 1200, 'id': '10155147054646674', 'cover_id': '10155147054646674', 'offset_y': 0}</t>
  </si>
  <si>
    <t>{'zip': '00902', 'longitude': -66.117253640628, 'country': 'Puerto Rico', 'street': 'Calle San José, Esq. San Francisco', 'latitude': 18.46521729212, 'city': 'San Juan'}</t>
  </si>
  <si>
    <t>{'source': 'https://scontent.xx.fbcdn.net/v/t1.0-9/s720x720/20480022_1558585380865474_5822659542212390883_n.jpg?oh=d1566d695470fe6db35eb82785100eca&amp;oe=5B332DB4', 'offset_x': 600, 'id': '1558585380865474', 'cover_id': '1558585380865474', 'offset_y': 0}</t>
  </si>
  <si>
    <t>{'city': 'København', 'zip': '1256', 'country': 'Denmark', 'street': 'Det Gule Palæ, Amaliegade 18'}</t>
  </si>
  <si>
    <t>{'source': 'https://scontent.xx.fbcdn.net/v/t31.0-8/s720x720/13248448_292457214426200_7031543906300795105_o.jpg?_nc_cat=0&amp;oh=26a0114c2f32d423a9566b79ea09771b&amp;oe=5B34FA29', 'offset_x': 0, 'id': '292457214426200', 'cover_id': '292457214426200', 'offset_y': 45}</t>
  </si>
  <si>
    <t>{'zip': '1300', 'longitude': 120.99162269556, 'country': 'Philippines', 'street': '2330 Roxas Boulevard', 'latitude': 14.546653085544, 'city': 'Pasay City'}</t>
  </si>
  <si>
    <t>{'source': 'https://scontent.xx.fbcdn.net/v/t31.0-8/s720x720/28516388_972283876259780_3415944437771801956_o.jpg?oh=2b56ab3a378cfc3c69a44dc22c8900af&amp;oe=5B320D2B', 'offset_x': 111, 'id': '972283876259780', 'cover_id': '972283876259780', 'offset_y': 0}</t>
  </si>
  <si>
    <t>{'fri_1_open': '08:00', 'tue_1_open': '08:00', 'mon_1_close': '17:00', 'mon_1_open': '08:00', 'tue_1_close': '17:00', 'wed_1_open': '08:00', 'thu_1_open': '08:00', 'wed_1_close': '17:00', 'fri_1_close': '17:00', 'thu_1_close': '17:00'}</t>
  </si>
  <si>
    <t>{'city': 'Uccle', 'zip': '1180', 'country': 'Belgium', 'street': 'Avenue des Aubépines, 7'}</t>
  </si>
  <si>
    <t>{'source': 'https://scontent.xx.fbcdn.net/v/t31.0-0/p480x480/11088941_10155432066175527_727726972566739719_o.jpg?oh=4353ced0eeb0ba0a0e1422745a2a6740&amp;oe=5B3FFFCB', 'offset_x': 0, 'id': '10155432066175527', 'cover_id': '10155432066175527', 'offset_y': 3}</t>
  </si>
  <si>
    <t>{'zip': '1000', 'longitude': 4.35857, 'country': 'Belgium', 'street': 'Karmelietenstraat 15 Rue des Petits Carmes', 'latitude': 50.84033, 'city': 'Brussels'}</t>
  </si>
  <si>
    <t>{'source': 'https://scontent.xx.fbcdn.net/v/t31.0-8/s720x720/21246206_1615823948462453_5413912813076857607_o.jpg?oh=812fbd3c46f8d4e069fd7f35b8ee163a&amp;oe=5B34F211', 'offset_x': 600, 'id': '1615823948462453', 'cover_id': '1615823948462453', 'offset_y': 0}</t>
  </si>
  <si>
    <t>{'zip': 'Bp. V. 109 Abidjan', 'longitude': -4.0219831466675, 'country': "Côte d'Ivoire", 'street': 'Plateau, Bvd Angoulvant', 'latitude': 5.3214904311468, 'city': 'Abidjan'}</t>
  </si>
  <si>
    <t>{'source': 'https://scontent.xx.fbcdn.net/v/t1.0-0/p480x480/28166260_1659666710779970_1448111577007735916_n.jpg?oh=ee94932d2fc3fe8d42553eb1bafb8aeb&amp;oe=5B42CE3C', 'offset_x': 0, 'id': '1659666710779970', 'cover_id': '1659666710779970', 'offset_y': 33}</t>
  </si>
  <si>
    <t>{'zip': '101', 'longitude': 47.516449, 'country': 'Madagascar', 'street': 'B.P 836, Rue Andriamifidy, Anosy 101 Antananarivo - Madagascar', 'latitude': -18.919234, 'city': 'Antananarivo'}</t>
  </si>
  <si>
    <t>{'source': 'https://scontent.xx.fbcdn.net/v/t1.0-9/s720x720/8380_1525150377812532_5489999763425276472_n.png?oh=1a3db551a7af6341f3a598f9a590f86d&amp;oe=5B3BCD51', 'offset_x': 600, 'id': '1525150377812532', 'cover_id': '1525150377812532', 'offset_y': 0}</t>
  </si>
  <si>
    <t>{'zip': '0001', 'longitude': 28.230940372688, 'country': 'South Africa', 'street': 'Soutpansberg Rd', 'latitude': -25.734376842552, 'city': 'Pretoria'}</t>
  </si>
  <si>
    <t>{'source': 'https://scontent.xx.fbcdn.net/v/t31.0-8/s720x720/28514408_1611206222306010_891861599241374499_o.jpg?oh=6b61f8d5faba6e5e2eb75acfbc1e5aaa&amp;oe=5B34DE51', 'offset_x': 600, 'id': '1611206222306010', 'cover_id': '1611206222306010', 'offset_y': 0}</t>
  </si>
  <si>
    <t>{'zip': '8511', 'longitude': -57.63665, 'country': 'Paraguay', 'street': 'Paraguayo Independiente c/ Ayolas', 'latitude': -25.27875, 'city': 'Asunción'}</t>
  </si>
  <si>
    <t>{'source': 'https://scontent.xx.fbcdn.net/v/t31.0-8/s720x720/18836800_1393851097360930_6254649070149186803_o.jpg?oh=1c933341433783405c87aacececf6498&amp;oe=5B467FC5', 'offset_x': 0, 'id': '1393851097360930', 'cover_id': '1393851097360930', 'offset_y': 72}</t>
  </si>
  <si>
    <t>{'zip': '06100', 'longitude': 32.816910441433, 'country': 'Turkey', 'street': 'Dr. Sadık Ahmet Cad. No:8 Balgat', 'latitude': 39.912221082017, 'city': 'Ankara'}</t>
  </si>
  <si>
    <t>{'source': 'https://scontent.xx.fbcdn.net/v/t31.0-8/s720x720/17038818_1302121343167323_491237429890243584_o.jpg?oh=ae1811c0dc40ae4637bead0c163ed8a1&amp;oe=5B2F8D84', 'offset_x': 0, 'id': '1302121343167323', 'cover_id': '1302121343167323', 'offset_y': 0}</t>
  </si>
  <si>
    <t>{'source': 'https://scontent.xx.fbcdn.net/v/t1.0-0/p480x480/28168116_1552589631521480_5788135825142773132_n.jpg?oh=25f651f9980f6b991ffe534a4aeda0e9&amp;oe=5B306B3F', 'offset_x': 0, 'id': '1552589631521480', 'cover_id': '1552589631521480', 'offset_y': 75}</t>
  </si>
  <si>
    <t>{'source': 'https://scontent.xx.fbcdn.net/v/t31.0-8/p720x720/27907480_10155015291781851_1643253233385235657_o.jpg?oh=dfaa958d14f8295384047bc4a58d3d1f&amp;oe=5AFFA44F', 'offset_x': 0, 'id': '10155015291781851', 'cover_id': '10155015291781851', 'offset_y': 85}</t>
  </si>
  <si>
    <t>{'source': 'https://scontent.xx.fbcdn.net/v/t31.0-0/p480x480/15675996_1785911441649742_5303533348580875105_o.jpg?oh=954f34cf3985ea564304ebcd971316ec&amp;oe=5B365685', 'offset_x': 0, 'id': '1785911441649742', 'cover_id': '1785911441649742', 'offset_y': 85}</t>
  </si>
  <si>
    <t>3, Castille Place, Valletta, Malta; Tel: 2200 1700; Fax: 2200 1775; e-mail: info.doi@gov.mt; Website: www.doi.gov.mt</t>
  </si>
  <si>
    <t>{'zip': 'VLT1062', 'longitude': 14.511769266244, 'street': '3, Castille Place, Valletta, Malta', 'latitude': 35.895391253145}</t>
  </si>
  <si>
    <t>{'source': 'https://scontent.xx.fbcdn.net/v/t1.0-9/29187099_1646608235384889_2782123627863080960_n.jpg?oh=0ed90bcdfdd9e907f021dfeffb1072f0&amp;oe=5B01228F', 'offset_x': 0, 'id': '1646608232051556', 'cover_id': '1646608232051556', 'offset_y': 58}</t>
  </si>
  <si>
    <t>{'fri_1_open': '07:45', 'tue_1_open': '07:45', 'mon_1_close': '17:15', 'mon_1_open': '07:45', 'tue_1_close': '17:15', 'wed_1_open': '07:45', 'thu_1_open': '07:45', 'wed_1_close': '17:15', 'fri_1_close': '17:15', 'thu_1_close': '17:15'}</t>
  </si>
  <si>
    <t>3, Castille Place, Valletta, Malta, VLT1062</t>
  </si>
  <si>
    <t>{'city': 'New York', 'state': 'NY', 'zip': '10022', 'country': 'United States', 'street': '725 Fifth Ave'}</t>
  </si>
  <si>
    <t>{'source': 'https://scontent.xx.fbcdn.net/v/t31.0-8/s720x720/26233593_10160398419400725_8688642036588071912_o.jpg?oh=75d670d00fff35ce15976a00fe191855&amp;oe=5B3F2221', 'offset_x': 0, 'id': '10160398419400725', 'cover_id': '10160398419400725', 'offset_y': 45}</t>
  </si>
  <si>
    <t>{'source': 'https://scontent.xx.fbcdn.net/v/t31.0-8/s720x720/28515126_10156222232974717_1228297011718306565_o.jpg?oh=f4334e736d8312af3dda452420f2af02&amp;oe=5B3E3B36', 'offset_x': 0, 'id': '10156222232974717', 'cover_id': '10156222232974717', 'offset_y': 61}</t>
  </si>
  <si>
    <t>{'city': 'Baghdad', 'zip': '10069', 'country': 'Iraq', 'street': 'alkareeda'}</t>
  </si>
  <si>
    <t>{'source': 'https://scontent.xx.fbcdn.net/v/t31.0-8/s720x720/901391_200144883507066_1926252812_o.jpg?oh=966f40600644fb1d15a4c2bc9fa54b57&amp;oe=5B3F99B3', 'offset_x': 350, 'id': '200144883507066', 'cover_id': '200144883507066', 'offset_y': 0}</t>
  </si>
  <si>
    <t>{'source': 'https://scontent.xx.fbcdn.net/v/t31.0-8/s720x720/23800094_1899359776744853_9065381769744956843_o.jpg?oh=8d768a0288e40dd00a046f1a337f83f0&amp;oe=5B4D271B', 'offset_x': 0, 'id': '1899359776744853', 'cover_id': '1899359776744853', 'offset_y': 10}</t>
  </si>
  <si>
    <t>{'zip': '19111', 'longitude': 35.859375, 'country': 'Jordan', 'street': 'P.O. Box 1', 'latitude': 33.137551192346, 'city': 'As Salt'}</t>
  </si>
  <si>
    <t>{'source': 'https://scontent.xx.fbcdn.net/v/t31.0-8/s720x720/13443240_1314025388610830_2759738384596000743_o.jpg?oh=1478f1807c80aedd411049a33b11643e&amp;oe=5B4BC98D', 'offset_x': 0, 'id': '1314025388610830', 'cover_id': '1314025388610830', 'offset_y': 44}</t>
  </si>
  <si>
    <t>{'source': 'https://scontent.xx.fbcdn.net/v/t31.0-8/s720x720/23632165_906512919505199_138925099936150161_o.jpg?oh=287b452c82215635b03e651cc494bcac&amp;oe=5B3BC644', 'offset_x': 0, 'id': '906512919505199', 'cover_id': '906512919505199', 'offset_y': 67}</t>
  </si>
  <si>
    <t>{'source': 'https://scontent.xx.fbcdn.net/v/t1.0-9/s720x720/29186230_1908664689166065_5578602058631610368_n.jpg?oh=00096b60a52277e7ff07a590b481f1e6&amp;oe=5B429869', 'offset_x': 50, 'id': '1908664679166066', 'cover_id': '1908664679166066', 'offset_y': 0}</t>
  </si>
  <si>
    <t>Dr-the-Hon-Hubert-A-Minnis-61258077512</t>
  </si>
  <si>
    <t>http://www.hubertminnis.com/</t>
  </si>
  <si>
    <t>https://www.facebook.com/Dr-the-Hon-Hubert-A-Minnis-61258077512/</t>
  </si>
  <si>
    <t>{'source': 'https://scontent.xx.fbcdn.net/v/t1.0-0/p180x540/28168248_10155122021597513_3637697113297679630_n.jpg?oh=66cee2616cfe57b58374221f939a8570&amp;oe=5B42C735', 'offset_x': 0, 'id': '10155122021597513', 'cover_id': '10155122021597513', 'offset_y': 56}</t>
  </si>
  <si>
    <t>327-7006</t>
  </si>
  <si>
    <t>{'source': 'https://scontent.xx.fbcdn.net/v/t31.0-8/s720x720/28164382_2026772517567336_7047774640134486965_o.jpg?oh=c8fbdd3e96b2661beb983a87b210ccd3&amp;oe=5B3A8059', 'offset_x': 0, 'id': '2026772517567336', 'cover_id': '2026772517567336', 'offset_y': 49}</t>
  </si>
  <si>
    <t>{'city': 'Lusaka ', 'zip': '10101', 'street': '1 Independence Road Lusaka'}</t>
  </si>
  <si>
    <t>{'source': 'https://scontent.xx.fbcdn.net/v/t1.0-9/s720x720/28378566_1733182613404623_3264859920962812683_n.jpg?oh=f689d196907ac9460c81cd65c6163816&amp;oe=5B492E7A', 'offset_x': -6050, 'id': '1733182613404623', 'cover_id': '1733182613404623', 'offset_y': 0}</t>
  </si>
  <si>
    <t>{'city': 'Tirana', 'zip': '1001', 'country': 'Albania', 'street': 'Partia Socialiste e Shqipërisë, Sheshi Austria, nr. 91'}</t>
  </si>
  <si>
    <t>{'source': 'https://scontent.xx.fbcdn.net/v/t31.0-8/s720x720/22219593_10155205568106523_4995768370685065579_o.jpg?oh=acdc1ecfb67fe409ae1da355900225b0&amp;oe=5B40F116', 'offset_x': 0, 'id': '10155205568106523', 'cover_id': '10155205568106523', 'offset_y': 59}</t>
  </si>
  <si>
    <t>{'source': 'https://scontent.xx.fbcdn.net/v/t31.0-8/s720x720/26910883_2255630617996938_181309445346858835_o.jpg?oh=b322a68c295e82e5d049d96291ad6759&amp;oe=5B3B1DC6', 'offset_x': 0, 'id': '2255630617996938', 'cover_id': '2255630617996938', 'offset_y': 62}</t>
  </si>
  <si>
    <t>{'zip': 'MD-2012', 'longitude': 28.837432265282, 'country': 'Moldova', 'street': 'Puskin 42', 'latitude': 47.025798399571, 'city': 'Chisinau'}</t>
  </si>
  <si>
    <t>{'source': 'https://scontent.xx.fbcdn.net/v/t31.0-8/s720x720/26910122_1699515453444001_3023826195402491719_o.jpg?oh=13752764eedeb499218e3ba29ef0938f&amp;oe=5B014427', 'offset_x': 0, 'id': '1699515453444001', 'cover_id': '1699515453444001', 'offset_y': 35}</t>
  </si>
  <si>
    <t>{'city': 'Kuwait', 'zip': 'P.O Box 900 Safat - ZIPCODE 13009', 'country': 'Kuwait', 'street': 'Ahmed Al Jabir Street'}</t>
  </si>
  <si>
    <t>{'source': 'https://scontent.xx.fbcdn.net/v/t1.0-9/s720x720/1526926_994057590611465_7924412775152804019_n.jpg?oh=cbe356134bed2b81af5cbfa95df58037&amp;oe=5B404B16', 'offset_x': 0, 'id': '994057590611465', 'cover_id': '994057590611465', 'offset_y': 0}</t>
  </si>
  <si>
    <t>{'tue_1_open': '08:00', 'mon_1_close': '14:15', 'mon_1_open': '08:00', 'tue_1_close': '14:15', 'wed_1_open': '08:00', 'thu_1_open': '08:00', 'sun_1_open': '08:00', 'wed_1_close': '14:15', 'sun_1_close': '14:15', 'thu_1_close': '14:15'}</t>
  </si>
  <si>
    <t>{'source': 'https://scontent.xx.fbcdn.net/v/t1.0-9/s720x720/1426748_181047522095670_1941684162_n.png?oh=1d129d9e06b464f475473c914cb8d4b1&amp;oe=5B4CA938', 'offset_x': 0, 'id': '181047522095670', 'cover_id': '181047522095670', 'offset_y': 0}</t>
  </si>
  <si>
    <t>{'city': 'Cairo', 'longitude': 27.26766315, 'country': 'Egypt', 'latitude': 37.00494919}</t>
  </si>
  <si>
    <t>{'source': 'https://scontent.xx.fbcdn.net/v/t1.0-9/14568172_1183944568320177_1209423625339891488_n.jpg?oh=5d84371da2bab7f92b49c8b1a3ebc30d&amp;oe=5B387B5D', 'offset_x': 0, 'id': '1183944568320177', 'cover_id': '1183944568320177', 'offset_y': 53}</t>
  </si>
  <si>
    <t>{'source': 'https://scontent.xx.fbcdn.net/v/t31.0-8/s720x720/12829406_857885790987596_1295965022505366337_o.jpg?oh=59c9e43a9f5a92ff07c62be247edf4df&amp;oe=5B34CBCC', 'offset_x': 0, 'id': '857885790987596', 'cover_id': '857885790987596', 'offset_y': 29}</t>
  </si>
  <si>
    <t>{'zip': '75008', 'longitude': 2.3164048734129, 'country': 'France', 'street': '55 Rue du Faubourg Saint-Honoré', 'latitude': 48.870216402001, 'city': 'Paris'}</t>
  </si>
  <si>
    <t>{'source': 'https://scontent.xx.fbcdn.net/v/t31.0-8/s720x720/19388664_10155363450905350_6950833401551321885_o.jpg?oh=513a81f8e0c9692934f1ff9ec4b345a6&amp;oe=5B34080B', 'offset_x': 0, 'id': '10155363450905350', 'cover_id': '10155363450905350', 'offset_y': 9}</t>
  </si>
  <si>
    <t>{'source': 'https://scontent.xx.fbcdn.net/v/t1.0-9/27540587_1588276594593050_8259661416376451433_n.jpg?oh=8fe96d7ff3d25a4732e74ba139b71213&amp;oe=5B380A7B', 'offset_x': 0, 'id': '1588276594593050', 'cover_id': '1588276594593050', 'offset_y': 38}</t>
  </si>
  <si>
    <t>embaettiforseta</t>
  </si>
  <si>
    <t>http://www.forseti.is</t>
  </si>
  <si>
    <t>Þetta er Facebook síða forseta Íslands.</t>
  </si>
  <si>
    <t>https://www.facebook.com/embaettiforseta/</t>
  </si>
  <si>
    <t>{'zip': '101', 'longitude': -21.939096450806, 'country': 'Iceland', 'street': 'Sóleyjargötu 1', 'latitude': 64.14270121852, 'city': 'Reykjavík'}</t>
  </si>
  <si>
    <t>{'source': 'https://scontent.xx.fbcdn.net/v/t1.0-9/s720x720/13938347_653707384779785_338067514179354171_n.jpg?oh=c5e765a2611f488931804c5a4857eff4&amp;oe=5AFF9367', 'offset_x': 600, 'id': '653707384779785', 'cover_id': '653707384779785', 'offset_y': 0}</t>
  </si>
  <si>
    <t>Öllum er frjálst að setja skilaboð á síðuna og birtast þau eftir yfirlestur. Reynt er að bregðast við þeim eftir föngum. 
Allir geta gert athugasemdir við innlegg á síðunni en þær þurfa að vera málefnalegar; skrifstofa forseta áskilur sér rétt til að eyða athugasemdum.</t>
  </si>
  <si>
    <t>Skrifstofa embættis forseta Íslands er á Sóleyargötu 1, 101 Reykjavík. Sími 540 4400, netfang forseti @ forseti.is.</t>
  </si>
  <si>
    <t>{'fri_1_open': '09:00', 'tue_1_open': '09:00', 'mon_1_close': '17:00', 'mon_1_open': '09:00', 'tue_1_close': '17:00', 'wed_1_open': '09:00', 'thu_1_open': '09:00', 'wed_1_close': '17:00', 'fri_1_close': '17:00', 'thu_1_close': '17:00'}</t>
  </si>
  <si>
    <t>+354 5404400</t>
  </si>
  <si>
    <t>Sóleyjargötu 1, 101 Reykjavík, Iceland</t>
  </si>
  <si>
    <t>{'source': 'https://scontent.xx.fbcdn.net/v/t31.0-8/s720x720/10604632_758066360882947_7563633355710312438_o.jpg?oh=582910e91f0647f5796eedf3359175a9&amp;oe=5B39ADDF', 'offset_x': 0, 'id': '758066360882947', 'cover_id': '758066360882947', 'offset_y': 0}</t>
  </si>
  <si>
    <t>Emmanuel-Issoze-Ngondet-1705779776380977</t>
  </si>
  <si>
    <t>{'source': 'https://scontent.xx.fbcdn.net/v/t31.0-8/s720x720/26220965_1882172825408337_6823240709969317631_o.jpg?oh=bc71a2f745c4c226f16d9a9821057ccb&amp;oe=5B04700F', 'offset_x': 0, 'id': '1882172825408337', 'cover_id': '1882172825408337', 'offset_y': 50}</t>
  </si>
  <si>
    <t>{'source': 'https://scontent.xx.fbcdn.net/v/t31.0-8/s720x720/26952580_2097354870497088_5348006816852369056_o.jpg?oh=91aaf9e8acd311556529700cd173a263&amp;oe=5B33E65D', 'offset_x': 0, 'id': '2097354870497088', 'cover_id': '2097354870497088', 'offset_y': 36}</t>
  </si>
  <si>
    <t>presidentmnangagwa</t>
  </si>
  <si>
    <t>http://www.edmnangagwa.com/</t>
  </si>
  <si>
    <t>https://www.facebook.com/presidentmnangagwa/</t>
  </si>
  <si>
    <t>{'source': 'https://scontent.xx.fbcdn.net/v/t1.0-9/s720x720/28378186_1608528459237779_6835322171293010946_n.jpg?oh=ca71057dc2e2fd212967715c37c634b1&amp;oe=5B3E9D04', 'offset_x': 1200, 'id': '1608528459237779', 'cover_id': '1608528459237779', 'offset_y': 0}</t>
  </si>
  <si>
    <t>{'source': 'https://scontent.xx.fbcdn.net/v/t1.0-9/s720x720/17629721_10155179500469337_111076989906144616_n.jpg?oh=f6e0f2ac5782fc0dccbdcac27ed756dc&amp;oe=5B49DB0A', 'offset_x': 1200, 'id': '10155179500469337', 'cover_id': '10155179500469337', 'offset_y': 0}</t>
  </si>
  <si>
    <t>{'source': 'https://scontent.xx.fbcdn.net/v/t31.0-8/s720x720/27368739_10155909639936832_2367080171168101627_o.jpg?oh=49d26bc5d8b46eb47c32b9eb6908e353&amp;oe=5B392F8C', 'offset_x': 0, 'id': '10155909639936832', 'cover_id': '10155909639936832', 'offset_y': 0}</t>
  </si>
  <si>
    <t>{'city': 'Tegucigalpa', 'longitude': -87.2054, 'country': 'Honduras', 'street': 'Casa Presidencial Honduras', 'latitude': 14.08191}</t>
  </si>
  <si>
    <t>{'source': 'https://scontent.xx.fbcdn.net/v/t1.0-9/s720x720/29133476_2010909819124255_9022787598023655424_o.jpg?oh=9ec6a1f11dd7e0e79b43b79b2f8954c6&amp;oe=5B392E6B', 'offset_x': 600, 'id': '2010909815790922', 'cover_id': '2010909815790922', 'offset_y': 0}</t>
  </si>
  <si>
    <t>{'zip': '1048', 'longitude': 4.3823, 'country': 'Belgium', 'street': 'Rue de la Loi/Wetstraat 175', 'latitude': 50.84231, 'city': 'Brussels'}</t>
  </si>
  <si>
    <t>{'source': 'https://scontent.xx.fbcdn.net/v/t1.0-9/s720x720/26195429_1576624489053867_3607234388692111025_n.jpg?oh=5d06793cbdcc2f7853d13518b1b59be1&amp;oe=5B47C5A2', 'offset_x': 0, 'id': '1576624489053867', 'cover_id': '1576624489053867', 'offset_y': 0}</t>
  </si>
  <si>
    <t>{'zip': '1000', 'longitude': 4.3826007843018, 'country': 'Belgium', 'street': 'Rue de la Loi', 'latitude': 50.843562553705, 'city': 'Brussels'}</t>
  </si>
  <si>
    <t>{'source': 'https://scontent.xx.fbcdn.net/v/t1.0-9/s720x720/29213832_1708559539191519_3818067338771562496_o.jpg?oh=ff52b818c3507378ad062cee32e1afca&amp;oe=5B45AEBA', 'offset_x': 0, 'id': '1708559535858186', 'cover_id': '1708559535858186', 'offset_y': 42}</t>
  </si>
  <si>
    <t>{'source': 'https://scontent.xx.fbcdn.net/v/t31.0-0/p480x480/28828223_1210676405736345_6500936493464888866_o.jpg?oh=802f7e4a792ba48b5ce89ca3ba8f07fa&amp;oe=5B013C2F', 'offset_x': 0, 'id': '1210676405736345', 'cover_id': '1210676405736345', 'offset_y': 40}</t>
  </si>
  <si>
    <t>{'zip': '1046', 'longitude': 4.38472, 'country': 'Belgium', 'street': 'Rond Point Schuman, 9A', 'latitude': 50.84248, 'city': 'Brussels'}</t>
  </si>
  <si>
    <t>{'source': 'https://scontent.xx.fbcdn.net/v/t1.0-9/s720x720/26219368_1687288014667227_1466779605322600897_n.png?oh=ce0d0fd0d34931820cdb31fe93862422&amp;oe=5B39D582', 'offset_x': 0, 'id': '1687288014667227', 'cover_id': '1687288014667227', 'offset_y': 45}</t>
  </si>
  <si>
    <t>Evo-Morales-Ayma-145070396007399</t>
  </si>
  <si>
    <t>http://www.presidencia.gob.bo/</t>
  </si>
  <si>
    <t>Presidente de Bolivia</t>
  </si>
  <si>
    <t>https://www.facebook.com/Evo-Morales-Ayma-145070396007399/</t>
  </si>
  <si>
    <t>{'source': 'https://scontent.xx.fbcdn.net/v/t1.0-9/s720x720/18118825_199263683921403_5365478106923955845_n.png?oh=7b64e1ba5dc0a01f1870719961f53814&amp;oe=5B38CA69', 'offset_x': 13, 'id': '199263683921403', 'cover_id': '199263683921403', 'offset_y': 0}</t>
  </si>
  <si>
    <t>{'zip': '28012', 'longitude': -3.70586, 'country': 'Spain', 'street': 'Plaza de la Provincia, 1', 'latitude': 40.4147, 'city': 'Madrid'}</t>
  </si>
  <si>
    <t>{'source': 'https://scontent.xx.fbcdn.net/v/t31.0-8/s720x720/28699057_1662617247157480_3184789358430183930_o.jpg?oh=b09af64b9e5c3f080530908755d570fe&amp;oe=5B043BC9', 'offset_x': 0, 'id': '1662617247157480', 'cover_id': '1662617247157480', 'offset_y': 0}</t>
  </si>
  <si>
    <t>{'source': 'https://scontent.xx.fbcdn.net/v/t1.0-9/10174940_746196278744090_1736262079_n.jpg?oh=0de9e3a1801f6cbddffd1f366212e662&amp;oe=5B3A551C', 'offset_x': 0, 'id': '746196278744090', 'cover_id': '746196278744090', 'offset_y': 24}</t>
  </si>
  <si>
    <t>{'source': 'https://scontent.xx.fbcdn.net/v/t1.0-9/s720x720/28279740_984943804986213_1925828345321420754_n.jpg?oh=e93c5282d016c6fc7d3de72b5228fd0b&amp;oe=5B3AA881', 'offset_x': 0, 'id': '984943804986213', 'cover_id': '984943804986213', 'offset_y': 48}</t>
  </si>
  <si>
    <t>{'source': 'https://scontent.xx.fbcdn.net/v/t1.0-9/s720x720/26169385_2074790302750455_6413149700507122658_n.jpg?oh=b5571f099a2ebd5806295467c8a364cb&amp;oe=5B36F08A', 'offset_x': 0, 'id': '2074790302750455', 'cover_id': '2074790302750455', 'offset_y': 46}</t>
  </si>
  <si>
    <t>{'source': 'https://scontent.xx.fbcdn.net/v/t1.0-9/14292388_188345481587494_6193913446335524874_n.jpg?oh=2743d91fb20a21f574df1095999cfcf2&amp;oe=5AFFD654', 'offset_x': 0, 'id': '188345481587494', 'cover_id': '188345481587494', 'offset_y': 50}</t>
  </si>
  <si>
    <t>{'zip': '000000', 'longitude': 178.417, 'country': 'Fiji', 'street': 'PO Box 2225 - Govt bjb n', 'latitude': -18.1333, 'city': 'Suva City'}</t>
  </si>
  <si>
    <t>{'source': 'https://scontent.xx.fbcdn.net/v/t31.0-8/s720x720/13244209_1172883416077925_5887268427059900852_o.jpg?oh=a3e85c4291f2278d9873bf4d5ee25c4a&amp;oe=5B4277CF', 'offset_x': 0, 'id': '1172883416077925', 'cover_id': '1172883416077925', 'offset_y': 79}</t>
  </si>
  <si>
    <t>{'source': 'https://scontent.xx.fbcdn.net/v/t31.0-8/s851x315/23847165_1702828036404222_4684876737148033414_o.jpg?oh=1344f5c8d358d48bbf84789e91f528af&amp;oe=5B3DC673', 'offset_x': 0, 'id': '1702828036404222', 'cover_id': '1702828036404222', 'offset_y': 51}</t>
  </si>
  <si>
    <t>{'source': 'https://scontent.xx.fbcdn.net/v/t1.0-9/s720x720/18582309_1636406116369758_5275698341837473468_n.jpg?oh=78831ba3fc08695d7c79b16cf49a640b&amp;oe=5B4A5803', 'offset_x': 0, 'id': '1636406116369758', 'cover_id': '1636406116369758', 'offset_y': 0}</t>
  </si>
  <si>
    <t>{'fri_1_open': '08:00', 'tue_1_open': '08:00', 'mon_1_close': '16:30', 'mon_1_open': '08:00', 'tue_1_close': '04:30', 'wed_1_open': '08:00', 'thu_1_open': '08:00', 'wed_1_close': '04:30', 'fri_1_close': '04:00', 'thu_1_close': '04:30'}</t>
  </si>
  <si>
    <t>{'zip': 'Windhoek, Namibia', 'longitude': 17.093427558997, 'country': 'Namibia', 'street': 'Government Buidings Robert Mugabe Avenue', 'latitude': -22.571000703006, 'city': 'Windhoek'}</t>
  </si>
  <si>
    <t>{'source': 'https://scontent.xx.fbcdn.net/v/t31.0-8/s720x720/16665645_895780770524613_1358251863450573355_o.jpg?oh=a86bbce2749447a319d2f2b636de4c92&amp;oe=5B3A0B16', 'offset_x': 63, 'id': '895780770524613', 'cover_id': '895780770524613', 'offset_y': 0}</t>
  </si>
  <si>
    <t>{'city': 'Amman', 'longitude': 35.859049973221, 'country': 'Jordan', 'street': 'Airport Road', 'latitude': 31.922923446299}</t>
  </si>
  <si>
    <t>{'source': 'https://scontent.xx.fbcdn.net/v/t31.0-0/p240x240/16487214_1346314042073960_2086495430609635130_o.jpg?oh=c3ddf571b2a4b97f74b66fbd77297764&amp;oe=5B3BD255', 'offset_x': 0, 'id': '1346314042073960', 'cover_id': '1346314042073960', 'offset_y': 0}</t>
  </si>
  <si>
    <t>{'tue_1_open': '08:30', 'mon_1_close': '15:30', 'mon_1_open': '08:30', 'tue_1_close': '15:30', 'wed_1_open': '08:30', 'thu_1_open': '08:30', 'sun_1_open': '08:30', 'wed_1_close': '15:30', 'sun_1_close': '15:30', 'thu_1_close': '15:30'}</t>
  </si>
  <si>
    <t>{'source': 'https://scontent.xx.fbcdn.net/v/t1.0-9/s720x720/24232387_10155673233265630_1964302881435666504_n.jpg?oh=5f6268e27a309d0b448e5b657e9c8948&amp;oe=5B3EB27D', 'offset_x': 0, 'id': '10155673233265630', 'cover_id': '10155673233265630', 'offset_y': 74}</t>
  </si>
  <si>
    <t>{'zip': '00100', 'longitude': 36.82320591693, 'country': 'Kenya', 'street': 'Harambee Avenue · Nairobi, Kenya', 'latitude': -1.2893447884772, 'city': 'Nairobi'}</t>
  </si>
  <si>
    <t>{'source': 'https://scontent.xx.fbcdn.net/v/t31.0-8/s720x720/28161906_1865521073458296_1835083191306487640_o.jpg?oh=5f26121578ed87401f6582730750755e&amp;oe=5B4252A9', 'offset_x': 0, 'id': '1865521073458296', 'cover_id': '1865521073458296', 'offset_y': 77}</t>
  </si>
  <si>
    <t>{'zip': '101', 'longitude': -21.93557861, 'country': 'Iceland', 'street': 'Stjórnarráðshúsinu við Lækjartorg', 'latitude': 64.14738863, 'city': 'Reykjavík'}</t>
  </si>
  <si>
    <t>{'source': 'https://scontent.xx.fbcdn.net/v/t31.0-8/q83/s720x720/10828044_10152889312401676_211497214234984210_o.jpg?oh=139cb16e9f81383b031818a6e17c0a10&amp;oe=5AFFCF1B', 'offset_x': 0, 'id': '10152889312401676', 'cover_id': '10152889312401676', 'offset_y': 19}</t>
  </si>
  <si>
    <t>{'fri_1_open': '08:30', 'tue_1_open': '08:30', 'mon_1_close': '16:00', 'mon_1_open': '08:30', 'tue_1_close': '16:00', 'wed_1_open': '08:30', 'thu_1_open': '08:30', 'wed_1_close': '16:00', 'fri_1_close': '16:00', 'thu_1_close': '16:00'}</t>
  </si>
  <si>
    <t>{'zip': '00902', 'longitude': -66.118659720746, 'country': 'Puerto Rico', 'street': 'PO Box 9020082', 'latitude': 18.464590018851, 'city': 'San Juan'}</t>
  </si>
  <si>
    <t>{'source': 'https://scontent.xx.fbcdn.net/v/l/t31.0-8/q81/s720x720/28827229_10155431106257916_8823162279798795996_o.jpg?oh=5b6dfa61bfb0f3ed3cfad7b620a893af&amp;oe=5B474879', 'offset_x': 0, 'id': '10155431106257916', 'cover_id': '10155431106257916', 'offset_y': 43}</t>
  </si>
  <si>
    <t>{'zip': '75007', 'longitude': 2.31584, 'country': 'France', 'street': "37 Quai d'Orsay", 'latitude': 48.86272, 'city': 'Paris'}</t>
  </si>
  <si>
    <t>{'source': 'https://scontent.xx.fbcdn.net/v/t1.0-9/s720x720/28685150_1479197115535737_7725096111806873600_o.jpg?oh=6376d0fbbfeb21da60b7beef17461ad4&amp;oe=5B30B8AF', 'offset_x': 0, 'id': '1479197108869071', 'cover_id': '1479197108869071', 'offset_y': 30}</t>
  </si>
  <si>
    <t>{'zip': '75007', 'longitude': 2.31584, 'country': 'France', 'street': "37, Quai d'Orsay", 'latitude': 48.86272, 'city': 'Paris'}</t>
  </si>
  <si>
    <t>{'source': 'https://scontent.xx.fbcdn.net/v/t1.0-9/q84/s720x720/28951046_10156026689118260_9056781314983723008_o.jpg?oh=590486a66451cb548957571db96b845b&amp;oe=5B009D6F', 'offset_x': 600, 'id': '10156026689108260', 'cover_id': '10156026689108260', 'offset_y': 0}</t>
  </si>
  <si>
    <t>{'city': 'Toronto', 'state': 'ON', 'country': 'Canada'}</t>
  </si>
  <si>
    <t>{'source': 'https://scontent.xx.fbcdn.net/v/t31.0-8/s720x720/23845608_1535656239821944_3739455903178592768_o.jpg?oh=9739562f949be94e660fba678e00f00c&amp;oe=5B3BCD03', 'offset_x': 0, 'id': '1535656239821944', 'cover_id': '1535656239821944', 'offset_y': 25}</t>
  </si>
  <si>
    <t>{'zip': '1210', 'longitude': -57.638247013092, 'country': 'Paraguay', 'street': 'Ptte. Franco esq, Ayolas. Edificio Ayfra, piso 12', 'latitude': -25.27873342577, 'city': 'Asunción'}</t>
  </si>
  <si>
    <t>{'source': 'https://scontent.xx.fbcdn.net/v/t31.0-8/s720x720/21951112_1536329809769141_2088033253848193195_o.jpg?oh=34e47d5ac0b6887963296e94d1da63a0&amp;oe=5B482593', 'offset_x': 155, 'id': '1536329809769141', 'cover_id': '1536329809769141', 'offset_y': 0}</t>
  </si>
  <si>
    <t>{'fri_1_open': '07:00', 'tue_1_open': '07:00', 'mon_1_close': '16:00', 'mon_1_open': '07:00', 'tue_1_close': '16:00', 'wed_1_open': '07:00', 'thu_1_open': '07:00', 'wed_1_close': '16:00', 'fri_1_close': '16:00', 'thu_1_close': '16:00'}</t>
  </si>
  <si>
    <t>primature.gouv.ga</t>
  </si>
  <si>
    <t>{'city': 'Libreville', 'longitude': 9.4404579, 'country': 'Gabon', 'street': 'boulevard Bessieux', 'latitude': 0.39506586666667}</t>
  </si>
  <si>
    <t>{'source': 'https://scontent.xx.fbcdn.net/v/t1.0-9/16681972_948717635262875_5373116802820590664_n.jpg?oh=96c8844e7f4454bf2e79e15a92c3f221&amp;oe=5B301405', 'offset_x': 0, 'id': '948717635262875', 'cover_id': '948717635262875', 'offset_y': 10}</t>
  </si>
  <si>
    <t>{'fri_1_open': '07:30', 'tue_1_open': '07:30', 'mon_1_close': '15:30', 'mon_1_open': '07:30', 'tue_1_close': '15:30', 'wed_1_open': '07:30', 'thu_1_open': '07:30', 'wed_1_close': '15:30', 'fri_1_close': '15:30', 'thu_1_close': '15:30'}</t>
  </si>
  <si>
    <t>{'source': 'https://scontent.xx.fbcdn.net/v/t31.0-8/s720x720/16991632_1992346597666471_2346135125659993647_o.jpg?oh=55d96a0c28e83cd7ce309357917c5e73&amp;oe=5B2FEAD4', 'offset_x': 0, 'id': '1992346597666471', 'cover_id': '1992346597666471', 'offset_y': 45}</t>
  </si>
  <si>
    <t>{'source': 'https://scontent.xx.fbcdn.net/v/t1.0-9/12039236_1680945655470615_2707220988102542106_n.jpg?oh=eb6d0a17f5bca8e449fdb1710703f47a&amp;oe=5B00F274', 'offset_x': 0, 'id': '1680945655470615', 'cover_id': '1680945655470615', 'offset_y': 33}</t>
  </si>
  <si>
    <t>{'source': 'https://scontent.xx.fbcdn.net/v/t31.0-8/s720x720/27624618_1687321967991041_2101440030231770342_o.jpg?oh=d9f3f0adff29b654d795642c748694c4&amp;oe=5B451B4C', 'offset_x': 0, 'id': '1687321967991041', 'cover_id': '1687321967991041', 'offset_y': 0}</t>
  </si>
  <si>
    <t>{'zip': '0114', 'longitude': 44.797664880753, 'country': 'Georgia', 'street': 'Ingorokva str. 7', 'latitude': 41.694041089278, 'city': 'Tbilisi'}</t>
  </si>
  <si>
    <t>{'source': 'https://scontent.xx.fbcdn.net/v/t31.0-8/s720x720/26756701_1011896552281582_4628307699955362460_o.jpg?oh=13d2866a4da93028c8f3a6dae70f52ca&amp;oe=5B448733', 'offset_x': 0, 'id': '1011896552281582', 'cover_id': '1011896552281582', 'offset_y': 45}</t>
  </si>
  <si>
    <t>{'fri_1_open': '09:00', 'tue_1_open': '09:00', 'mon_1_close': '18:00', 'mon_1_open': '09:00', 'tue_1_close': '18:00', 'wed_1_open': '09:00', 'thu_1_open': '09:00', 'wed_1_close': '18:00', 'fri_1_close': '18:00', 'thu_1_close': '18:00'}</t>
  </si>
  <si>
    <t>{'source': 'https://scontent.xx.fbcdn.net/v/t31.0-8/s720x720/23511216_564173910591532_5593014492970010712_o.jpg?oh=b6a2c53003523a52d2138d05e9888ff3&amp;oe=5B3053E5', 'offset_x': 0, 'id': '564173910591532', 'cover_id': '564173910591532', 'offset_y': 44}</t>
  </si>
  <si>
    <t>{'source': 'https://scontent.xx.fbcdn.net/v/t1.0-9/s720x720/28279383_907634492734697_9066738186820378750_n.png?oh=6b896fe3f9e0960a8ddc6079cde5666c&amp;oe=5B3A0B85', 'offset_x': 600, 'id': '907634492734697', 'cover_id': '907634492734697', 'offset_y': 0}</t>
  </si>
  <si>
    <t>{'fri_1_open': '08:30', 'tue_1_open': '08:30', 'mon_1_close': '16:30', 'mon_1_open': '08:30', 'tue_1_close': '16:30', 'wed_1_open': '08:30', 'thu_1_open': '08:30', 'wed_1_close': '16:30', 'fri_1_close': '16:30', 'thu_1_close': '16:30'}</t>
  </si>
  <si>
    <t>{'city': "Saint George's", 'longitude': -61.743936538696, 'country': 'Grenada', 'street': 'Botanic Gardens, Tanteen', 'latitude': 12.047043185547}</t>
  </si>
  <si>
    <t>{'source': 'https://scontent.xx.fbcdn.net/v/t1.0-9/11885389_1887036138188437_3097268509819473050_n.jpg?oh=ebbdd59fb1f879b5165819392d161317&amp;oe=5B00E49C', 'offset_x': 0, 'id': '1887036138188437', 'cover_id': '1887036138188437', 'offset_y': 100}</t>
  </si>
  <si>
    <t>{'fri_1_open': '07:00', 'tue_1_open': '09:00', 'mon_1_close': '17:00', 'mon_1_open': '07:00', 'tue_1_close': '17:00', 'wed_1_open': '07:00', 'thu_1_open': '07:00', 'wed_1_close': '17:00', 'fri_1_close': '17:00', 'thu_1_close': '17:00'}</t>
  </si>
  <si>
    <t>Botanic Gardens, Tanteen, Saint George's, Grenada</t>
  </si>
  <si>
    <t>{'zip': '00000', 'longitude': -61.4, 'country': 'Dominica', 'street': 'Bath Estate', 'latitude': 15.3, 'city': 'Roseau'}</t>
  </si>
  <si>
    <t>{'source': 'https://scontent.xx.fbcdn.net/v/t1.0-9/s720x720/11043188_1065040853512776_8654841402248735432_n.jpg?oh=a4aa6c78926abf15894a3d2586c7ca96&amp;oe=5B457A44', 'offset_x': 0, 'id': '1065040853512776', 'cover_id': '1065040853512776', 'offset_y': 26}</t>
  </si>
  <si>
    <t>{'city': 'Kabul', 'zip': '25000', 'country': 'Afghanistan', 'street': 'Shah Muhmood Khan Street, Opposite of Ministry of Foreign Affairs, Council of Ministers Building'}</t>
  </si>
  <si>
    <t>{'source': 'https://scontent.xx.fbcdn.net/v/t31.0-8/s720x720/24131678_1598778586868972_4886520928110490364_o.jpg?oh=5e46791d3de15a5b9836943ca27d7598&amp;oe=5B42FCFF', 'offset_x': 0, 'id': '1598778586868972', 'cover_id': '1598778586868972', 'offset_y': 9}</t>
  </si>
  <si>
    <t>{'source': 'https://scontent.xx.fbcdn.net/v/t31.0-8/s720x720/10974317_389308041241582_7835383220924271947_o.png?oh=2b0b23e6febc23e0db00fa8bd4406883&amp;oe=5B4B6451', 'offset_x': 50, 'id': '389308041241582', 'cover_id': '389308041241582', 'offset_y': 0}</t>
  </si>
  <si>
    <t>{'source': 'https://scontent.xx.fbcdn.net/v/t1.0-9/q83/s720x720/29063605_1600636539973511_2595924168377630720_n.jpg?oh=c7835d9624d736290572e01748bf75ae&amp;oe=5B301102', 'offset_x': 0, 'id': '1600636536640178', 'cover_id': '1600636536640178', 'offset_y': 0}</t>
  </si>
  <si>
    <t>{'source': 'https://scontent.xx.fbcdn.net/v/t1.0-9/q86/s720x720/28869979_1218341098296238_2670301641755852800_n.jpg?oh=e0dacd0100f3f7f6a802238ed305729b&amp;oe=5B2D736E', 'offset_x': 600, 'id': '1218341094962905', 'cover_id': '1218341094962905', 'offset_y': 0}</t>
  </si>
  <si>
    <t>{'city': 'Belmopan', 'longitude': -88.772858682256, 'country': 'Belize', 'street': 'National Assembly Building', 'latitude': 17.251357481427}</t>
  </si>
  <si>
    <t>{'source': 'https://scontent.xx.fbcdn.net/v/t31.0-8/q84/s720x720/15799877_1195919987110169_7437721935092487623_o.jpg?oh=fefe795c7184888abb71a6160b81e051&amp;oe=5B2E1004', 'offset_x': 600, 'id': '1195919987110169', 'cover_id': '1195919987110169', 'offset_y': 0}</t>
  </si>
  <si>
    <t>{'fri_1_open': '08:00', 'tue_1_open': '08:00', 'mon_1_close': '17:00', 'mon_1_open': '08:00', 'tue_1_close': '17:00', 'wed_1_open': '08:00', 'thu_1_open': '08:00', 'wed_1_close': '17:00', 'fri_1_close': '16:30', 'thu_1_close': '17:00'}</t>
  </si>
  <si>
    <t>{'source': 'https://scontent.xx.fbcdn.net/v/t31.0-8/s720x720/22904709_2066801313554307_4886662601804022734_o.jpg?oh=d41f90db9aa069635c74fc502e191393&amp;oe=5B42E1F3', 'offset_x': 0, 'id': '2066801313554307', 'cover_id': '2066801313554307', 'offset_y': 39}</t>
  </si>
  <si>
    <t>Courthouse</t>
  </si>
  <si>
    <t>[{'id': '110121459069433', 'name': 'Courthouse'}, {'id': '161422927240513', 'name': 'Government Organization'}]</t>
  </si>
  <si>
    <t>{'zip': '12243', 'longitude': -3.99024, 'country': "Côte d'Ivoire", 'street': '01 bp 12243 abidjan 01', 'latitude': 5.31316, 'city': 'Abidjan'}</t>
  </si>
  <si>
    <t>{'source': 'https://scontent.xx.fbcdn.net/v/t1.0-9/s720x720/29214544_1730500823639666_5659209085089125037_n.jpg?oh=3eb69f50a197c0fddc2ff7407b384bcb&amp;oe=5B45955C', 'offset_x': 1200, 'id': '1730500823639666', 'cover_id': '1730500823639666', 'offset_y': 0}</t>
  </si>
  <si>
    <t>{'source': 'https://scontent.xx.fbcdn.net/v/t1.0-9/s720x720/29216706_1717125241715827_879680134821445632_n.jpg?oh=aa8e4606a857aced2ff5bfe4022de319&amp;oe=5B47B28F', 'offset_x': 0, 'id': '1717125238382494', 'cover_id': '1717125238382494', 'offset_y': 0}</t>
  </si>
  <si>
    <t>{'source': 'https://scontent.xx.fbcdn.net/v/t1.0-9/s720x720/13731461_1279104688781412_865559352337816945_n.jpg?oh=79209390aabd07ca32f2f168ea89a4cd&amp;oe=5B3198D1', 'offset_x': 163, 'id': '1279104688781412', 'cover_id': '1279104688781412', 'offset_y': 0}</t>
  </si>
  <si>
    <t>{'city': 'Brazzaville', 'longitude': 15.2833, 'country': 'Republic of the Congo', 'latitude': -4.2667}</t>
  </si>
  <si>
    <t>{'source': 'https://scontent.xx.fbcdn.net/v/t1.0-9/s720x720/12243228_1191581437525691_571424343080330716_n.png?oh=f9980e625d264431f6a0370292ff5361&amp;oe=5B011946', 'offset_x': 0, 'id': '1191581437525691', 'cover_id': '1191581437525691', 'offset_y': 0}</t>
  </si>
  <si>
    <t>{'zip': 'BP - 0318', 'longitude': -13.718394041061, 'country': 'Guinea', 'street': 'Primature-Palais de la Colombe', 'latitude': 9.5074659106467, 'city': 'Conakry'}</t>
  </si>
  <si>
    <t>{'source': 'https://scontent.xx.fbcdn.net/v/t1.0-9/s720x720/12744265_456828604524259_7360716960115144509_n.png?oh=0b5daf7cc58904304469e17ccf4d64dc&amp;oe=5B4C52E4', 'offset_x': 0, 'id': '456828604524259', 'cover_id': '456828604524259', 'offset_y': 0}</t>
  </si>
  <si>
    <t>{'source': 'https://scontent.xx.fbcdn.net/v/t1.0-9/s720x720/29132942_10156207013988686_3033576405217574912_o.jpg?oh=bc84afd9ed585a75c433658fa2ae0722&amp;oe=5B47D9F8', 'offset_x': 0, 'id': '10156207013978686', 'cover_id': '10156207013978686', 'offset_y': 27}</t>
  </si>
  <si>
    <t>{'source': 'https://scontent.xx.fbcdn.net/v/t1.0-9/s720x720/24909679_1913124692048302_7838845619733744012_n.jpg?oh=a31474708c4698d31b3b5b1bd475b79e&amp;oe=5B442AE7', 'offset_x': 0, 'id': '1913124692048302', 'cover_id': '1913124692048302', 'offset_y': 30}</t>
  </si>
  <si>
    <t>{'source': 'https://scontent.xx.fbcdn.net/v/t1.0-9/s720x720/402926_430647496973198_926861513_n.jpg?oh=12910044eb47626d13e7792bf5192065&amp;oe=5B3CB84C', 'offset_x': 0, 'id': '430647496973198', 'cover_id': '430647496973198', 'offset_y': 0}</t>
  </si>
  <si>
    <t>[{'id': '147714868971098', 'name': 'Public &amp; Government Service'}, {'id': '161422927240513', 'name': 'Government Organization'}, {'id': '139745066094977', 'name': 'Business Center'}]</t>
  </si>
  <si>
    <t>{'city': 'Nairobi', 'longitude': 36.814667793333, 'country': 'Kenya', 'street': 'P.O Box: 40530 00100, Nairobi, Kenya.', 'latitude': -1.30186801}</t>
  </si>
  <si>
    <t>{'source': 'https://scontent.xx.fbcdn.net/v/t31.0-8/s720x720/24059416_766751466851240_6251097673199918972_o.jpg?oh=2487e019b445a30ff5aa253cd8577379&amp;oe=5B3A9A7E', 'offset_x': 0, 'id': '766751466851240', 'cover_id': '766751466851240', 'offset_y': 0}</t>
  </si>
  <si>
    <t>{'source': 'https://scontent.xx.fbcdn.net/v/t31.0-8/s720x720/17211968_1459062520793232_2655230893317607794_o.jpg?oh=13fdbcc43c9b9bd61541169acaa137d7&amp;oe=5B488774', 'offset_x': 0, 'id': '1459062520793232', 'cover_id': '1459062520793232', 'offset_y': 46}</t>
  </si>
  <si>
    <t>{'source': 'https://scontent.xx.fbcdn.net/v/t31.0-8/s720x720/28698809_10155023314291222_8464374198692210749_o.jpg?oh=9edda62eb9a64aa9cacded830555b7f7&amp;oe=5B4A8A55', 'offset_x': 600, 'id': '10155023314291222', 'cover_id': '10155023314291222', 'offset_y': 0}</t>
  </si>
  <si>
    <t>{'city': 'Praia', 'zip': '304 / Várzea - Praia', 'longitude': -23.513810634613, 'country': 'Cape Verde', 'latitude': 14.915157001091}</t>
  </si>
  <si>
    <t>{'source': 'https://scontent.xx.fbcdn.net/v/t1.0-9/s720x720/28959280_2050348781920237_5977018399128027136_n.jpg?oh=2524f43fb6dfef437ddcdcefb7b172c5&amp;oe=5B2DDF0D', 'offset_x': 0, 'id': '2050348778586904', 'cover_id': '2050348778586904', 'offset_y': 0}</t>
  </si>
  <si>
    <t>{'zip': '10674', 'longitude': 23.74053, 'country': 'Greece', 'street': '19, Irodou Attikou st', 'latitude': 37.97354, 'city': 'Athens'}</t>
  </si>
  <si>
    <t>{'source': 'https://scontent.xx.fbcdn.net/v/t31.0-0/p480x480/23783679_1826638927351086_3917566021617170021_o.jpg?oh=cc1e70cda7e746815aacae892fe23199&amp;oe=5B3288AF', 'offset_x': 0, 'id': '1826638927351086', 'cover_id': '1826638927351086', 'offset_y': 78}</t>
  </si>
  <si>
    <t>{'source': 'https://scontent.xx.fbcdn.net/v/t1.0-9/s720x720/20228338_1569991013058827_1742343981872713860_n.png?oh=c6c75922d04bc6c33c3eb1e6d420372d&amp;oe=5B3C5C52', 'offset_x': 0, 'id': '1569991013058827', 'cover_id': '1569991013058827', 'offset_y': 0}</t>
  </si>
  <si>
    <t>{'city': 'Manila', 'longitude': 120.99630147, 'country': 'Philippines', 'latitude': 14.57289887}</t>
  </si>
  <si>
    <t>{'source': 'https://scontent.xx.fbcdn.net/v/t31.0-8/s720x720/13320760_1157881860922742_941530349109765751_o.jpg?oh=75a034ebcbbbfd2649e325671754a272&amp;oe=5B47B718', 'offset_x': 0, 'id': '1157881860922742', 'cover_id': '1157881860922742', 'offset_y': 14}</t>
  </si>
  <si>
    <t>{'source': 'https://scontent.xx.fbcdn.net/v/t31.0-0/p240x240/1890430_731185460308472_2927183454324945066_o.png?oh=8f6392bac3748d7dcdbef106ed770f77&amp;oe=5B3C28B4', 'offset_x': 84, 'id': '731185460308472', 'cover_id': '731185460308472', 'offset_y': 0}</t>
  </si>
  <si>
    <t>{'city': 'Kampala', 'zip': '256', 'country': 'Uganda'}</t>
  </si>
  <si>
    <t>{'source': 'https://scontent.xx.fbcdn.net/v/t31.0-8/s720x720/13580444_1214106888613342_6704066958369393791_o.jpg?oh=effe3a6e423b6746dc08b60f057bdb48&amp;oe=5B3B21DD', 'offset_x': 0, 'id': '1214106888613342', 'cover_id': '1214106888613342', 'offset_y': 0}</t>
  </si>
  <si>
    <t>{'source': 'https://scontent.xx.fbcdn.net/v/t31.0-8/s720x720/23736108_1485078891529546_337633485889758944_o.jpg?oh=30c426e538c0858017c6792e58471a8c&amp;oe=5B00DE00', 'offset_x': 38, 'id': '1485078891529546', 'cover_id': '1485078891529546', 'offset_y': 0}</t>
  </si>
  <si>
    <t>http://www.presidencia.gob.gt</t>
  </si>
  <si>
    <t>{'city': 'Guatemala City', 'zip': '01001', 'longitude': -90.51322778, 'country': 'Guatemala', 'latitude': 14.64294167}</t>
  </si>
  <si>
    <t>{'source': 'https://scontent.xx.fbcdn.net/v/t1.0-9/s720x720/26219093_1902502823112077_8954063201083010300_n.jpg?oh=f5aef343d9858fc5c98bc7072885cd7a&amp;oe=5B3E2A4F', 'offset_x': 0, 'id': '1902502823112077', 'cover_id': '1902502823112077', 'offset_y': 0}</t>
  </si>
  <si>
    <t>{'source': 'https://scontent.xx.fbcdn.net/v/t31.0-0/p180x540/26171384_10155156937527023_2013419179315966525_o.jpg?oh=0385bcd1eba94e08648e7e753fdfef27&amp;oe=5B39CA2C', 'offset_x': 0, 'id': '10155156937527023', 'cover_id': '10155156937527023', 'offset_y': 63}</t>
  </si>
  <si>
    <t>{'zip': '011791', 'longitude': 26.0865402, 'country': 'Romania', 'street': 'Palatul Victoria, Piaţa Victoriei nr. 1, Sector 1', 'latitude': 44.4519615, 'city': 'Bucharest'}</t>
  </si>
  <si>
    <t>{'source': 'https://scontent.xx.fbcdn.net/v/t31.0-8/s720x720/26197802_1431585780296673_6896582318185643425_o.png?oh=fc9bdde2e621eff863c0b1baea9646bd&amp;oe=5B046932', 'offset_x': 600, 'id': '1431585780296673', 'cover_id': '1431585780296673', 'offset_y': 0}</t>
  </si>
  <si>
    <t>{'source': 'https://scontent.xx.fbcdn.net/v/t1.0-9/s720x720/29066621_1611960542256041_7486947446623305728_o.jpg?oh=39f4210edb958e5e08d3532c68a057c1&amp;oe=5B33B321', 'offset_x': 4, 'id': '1611960535589375', 'cover_id': '1611960535589375', 'offset_y': 0}</t>
  </si>
  <si>
    <t>{'source': 'https://scontent.xx.fbcdn.net/v/t1.0-9/s720x720/11196283_1467168700240765_8477721543449817191_n.png?oh=8ba0ed97da4484ef8a88cecc620463dd&amp;oe=5B2EB9BF', 'offset_x': 63, 'id': '1467168700240765', 'cover_id': '1467168700240765', 'offset_y': 0}</t>
  </si>
  <si>
    <t>{'source': 'https://scontent.xx.fbcdn.net/v/t1.0-9/s720x720/29244577_916342371860691_3578239453044408320_o.jpg?oh=579448287fc1812f255500acf6c2ca3d&amp;oe=5B3E0856', 'offset_x': 0, 'id': '916342358527359', 'cover_id': '916342358527359', 'offset_y': 50}</t>
  </si>
  <si>
    <t>{'source': 'https://scontent.xx.fbcdn.net/v/t1.0-9/s720x720/25157957_10155946133343633_339897494121569985_n.jpg?oh=776d37ae3d1f21e226b5c3946d0b03ae&amp;oe=5B3D096F', 'offset_x': 0, 'id': '10155946133343633', 'cover_id': '10155946133343633', 'offset_y': 58}</t>
  </si>
  <si>
    <t>{'source': 'https://scontent.xx.fbcdn.net/v/t31.0-8/s720x720/28698691_1859056930794067_8054051400013395813_o.jpg?oh=cfcbdf388edaddc7445a84bb630ce926&amp;oe=5B2EF619', 'offset_x': 0, 'id': '1859056930794067', 'cover_id': '1859056930794067', 'offset_y': 53}</t>
  </si>
  <si>
    <t>{'city': 'Pristina', 'zip': '10000', 'country': 'Kosovo'}</t>
  </si>
  <si>
    <t>{'source': 'https://scontent.xx.fbcdn.net/v/t1.0-9/s720x720/28795775_1848018848601799_6498097742877818880_n.jpg?oh=e9b09191b3b961423f08234de8793ea5&amp;oe=5B2EAF06', 'offset_x': 0, 'id': '1848018845268466', 'cover_id': '1848018845268466', 'offset_y': 0}</t>
  </si>
  <si>
    <t>{'source': 'https://scontent.xx.fbcdn.net/v/t1.0-0/p180x540/28660869_1723297707732030_3955643731064421205_n.jpg?oh=036985066ac9846ec2cd1a2623f58ece&amp;oe=5B4280B6', 'offset_x': 0, 'id': '1723297707732030', 'cover_id': '1723297707732030', 'offset_y': 50}</t>
  </si>
  <si>
    <t>heiko.maas.98</t>
  </si>
  <si>
    <t>Heiko Maas</t>
  </si>
  <si>
    <t>https://www.auswaertiges-amt.de</t>
  </si>
  <si>
    <t xml:space="preserve">MdB für den Wahlkreis 297 (Saarlouis)
Bundesminister des Auswärtigen
</t>
  </si>
  <si>
    <t>{'source': 'https://scontent.xx.fbcdn.net/v/t1.0-9/s720x720/29176973_2102624986633550_6490757188502421504_o.jpg?oh=f82c0762d2a9200be82aea3ceaef2caf&amp;oe=5B37DA9A', 'offset_x': 0, 'id': '2102624976633551', 'cover_id': '2102624976633551', 'offset_y': 49}</t>
  </si>
  <si>
    <t xml:space="preserve">MdB für den Wahlkreis 297 (Saarlouis)
Bundesminister des Auswärtigen
</t>
  </si>
  <si>
    <t>{'city': 'Kathmandu', 'longitude': 85.3333, 'country': 'Nepal', 'street': 'सिंहदरबार, काठमाडौं ।', 'latitude': 27.7}</t>
  </si>
  <si>
    <t>{'source': 'https://scontent.xx.fbcdn.net/v/t1.0-9/934145_268768890121827_750057361784653793_n.png?oh=465d32d342b2f604e47a7567decb68ac&amp;oe=5B40E557', 'offset_x': 0, 'id': '268768890121827', 'cover_id': '268768890121827', 'offset_y': 0}</t>
  </si>
  <si>
    <t>{'source': 'https://scontent.xx.fbcdn.net/v/t31.0-8/s720x720/891633_506246019483388_378941818_o.jpg?oh=6a000bc8ab816ba6ee77161bcefa99b0&amp;oe=5B3D1B58', 'offset_x': 0, 'id': '506246019483388', 'cover_id': '506246019483388', 'offset_y': 14}</t>
  </si>
  <si>
    <t>{'source': 'https://scontent.xx.fbcdn.net/v/t31.0-8/s720x720/881914_303844819764546_6707385023540416354_o.jpg?oh=a74913ba030c42dc77f18af7e20e93a0&amp;oe=5B342E1E', 'offset_x': 0, 'id': '303844819764546', 'cover_id': '303844819764546', 'offset_y': 47}</t>
  </si>
  <si>
    <t>{'source': 'https://scontent.xx.fbcdn.net/v/t31.0-8/s720x720/11698752_940171182692694_8821611262990122803_o.jpg?oh=be30082f028eb0368a8ef7f55a95a347&amp;oe=5B3EC9A7', 'offset_x': 0, 'id': '940171182692694', 'cover_id': '940171182692694', 'offset_y': 50}</t>
  </si>
  <si>
    <t>{'source': 'https://scontent.xx.fbcdn.net/v/t1.0-9/423609_321976164527512_1603483611_n.jpg?oh=fd926aa8b52ee14b1fe7fbd28e442374&amp;oe=5B014CB5', 'offset_x': 0, 'id': '321976164527512', 'cover_id': '321976164527512', 'offset_y': 0}</t>
  </si>
  <si>
    <t>{'longitude': 0.88594436645508, 'latitude': -5.8286818044204}</t>
  </si>
  <si>
    <t>{'source': 'https://scontent.xx.fbcdn.net/v/t31.0-8/s720x720/19983675_1502600553140815_3817826201422439809_o.jpg?oh=520c6e83bb51c06081f37ed3ff464c40&amp;oe=5B2EFFD8', 'offset_x': 0, 'id': '1502600553140815', 'cover_id': '1502600553140815', 'offset_y': 85}</t>
  </si>
  <si>
    <t>{'source': 'https://scontent.xx.fbcdn.net/v/t31.0-8/s720x720/28516312_1872676132751699_3185455956430742846_o.jpg?oh=b11d797c342c3bab30b94c7a2f6bc918&amp;oe=5B43A5FA', 'offset_x': 0, 'id': '1872676132751699', 'cover_id': '1872676132751699', 'offset_y': 10}</t>
  </si>
  <si>
    <t>{'source': 'https://scontent.xx.fbcdn.net/v/t1.0-9/s720x720/13177856_1137013659650947_5902931861466474302_n.png?oh=bc3096db3a9fa5273e8053a5d128d2b0&amp;oe=5B480C42', 'offset_x': 600, 'id': '1137013659650947', 'cover_id': '1137013659650947', 'offset_y': 0}</t>
  </si>
  <si>
    <t>{'city': 'No. 38, Confederation Russia Blvd (110), Phnom Penh, Cambodia', 'zip': '855', 'street': 'Government Peace Building'}</t>
  </si>
  <si>
    <t>{'source': 'https://scontent.xx.fbcdn.net/v/t1.0-9/s720x720/18814319_1353979634650530_6828700737493512355_n.png?oh=0cd632f51e0a54a513a6cbb89221ae61&amp;oe=5B383DFF', 'offset_x': 1200, 'id': '1353979634650530', 'cover_id': '1353979634650530', 'offset_y': 0}</t>
  </si>
  <si>
    <t>{'source': 'https://scontent.xx.fbcdn.net/v/t31.0-8/s720x720/1064386_10152937906760316_807066694_o.png?oh=f29905ddaca9b4d7bea7c64a6869efa5&amp;oe=5B49412B', 'offset_x': 0, 'id': '10152937906760316', 'cover_id': '10152937906760316', 'offset_y': 50}</t>
  </si>
  <si>
    <t>{'source': 'https://scontent.xx.fbcdn.net/v/t1.0-9/s720x720/581893_10153945562321177_9008702952428481091_n.jpg?oh=3d89698ece9e62e9dc02675cdd9a7c8f&amp;oe=5B461A80', 'offset_x': 0, 'id': '10153945562321177', 'cover_id': '10153945562321177', 'offset_y': 41}</t>
  </si>
  <si>
    <t>{'source': 'https://scontent.xx.fbcdn.net/v/t31.0-8/s720x720/12239269_1220743027940691_8637176850430336844_o.jpg?oh=1a9f5300c1f8d76e6b579c304abe4c03&amp;oe=5B4D642C', 'offset_x': 0, 'id': '1220743027940691', 'cover_id': '1220743027940691', 'offset_y': 0}</t>
  </si>
  <si>
    <t>{'tue_1_open': '08:00', 'mon_1_close': '14:00', 'mon_1_open': '08:00', 'tue_1_close': '14:00', 'wed_1_open': '08:00', 'thu_1_open': '08:00', 'sun_1_open': '08:00', 'wed_1_close': '14:00', 'sun_1_close': '14:00', 'thu_1_close': '14:00'}</t>
  </si>
  <si>
    <t>{'source': 'https://scontent.xx.fbcdn.net/v/t31.0-8/q81/s720x720/25488068_1262623937176240_4584502071107104528_o.jpg?oh=d3e9340884997441fdf9a635d127f8a7&amp;oe=5B341E0C', 'offset_x': 0, 'id': '1262623937176240', 'cover_id': '1262623937176240', 'offset_y': 43}</t>
  </si>
  <si>
    <t>Igor-Crnadak-125367794733621</t>
  </si>
  <si>
    <t>https://www.facebook.com/Igor-Crnadak-125367794733621/</t>
  </si>
  <si>
    <t>{'source': 'https://scontent.xx.fbcdn.net/v/t31.0-8/s720x720/26197764_173084519961948_4232379780953738076_o.jpg?oh=0bea4ae7f795ddaea2f58540e25c11db&amp;oe=5B31C047', 'offset_x': 0, 'id': '173084519961948', 'cover_id': '173084519961948', 'offset_y': 12}</t>
  </si>
  <si>
    <t>{'zip': '1001', 'longitude': 19.820687770844, 'country': 'Albania', 'street': 'Bulevardi "Dëshmorët e Kombit"', 'latitude': 41.319059507286, 'city': 'Tirana'}</t>
  </si>
  <si>
    <t>{'source': 'https://scontent.xx.fbcdn.net/v/t31.0-8/s720x720/20248173_1477842258928709_7492054781358279805_o.jpg?oh=d6ed6330e3b9e01fb7dcbd60a24bad79&amp;oe=5B46F3DD', 'offset_x': 0, 'id': '1477842258928709', 'cover_id': '1477842258928709', 'offset_y': 6}</t>
  </si>
  <si>
    <t>{'source': 'https://scontent.xx.fbcdn.net/v/t31.0-8/s720x720/17240225_277263019369643_5644657629824292701_o.jpg?oh=541bbddcf21fe85fd3cf926614074050&amp;oe=5B03E630', 'offset_x': 0, 'id': '277263019369643', 'cover_id': '277263019369643', 'offset_y': 0}</t>
  </si>
  <si>
    <t>{'source': 'https://scontent.xx.fbcdn.net/v/t1.0-9/1426432_319892358195466_5749357557979434378_n.jpg?oh=d4a5eb9a3631900e229f808f4d3a6836&amp;oe=5B318F2C', 'offset_x': 0, 'id': '319892358195466', 'cover_id': '319892358195466', 'offset_y': 0}</t>
  </si>
  <si>
    <t>{'source': 'https://scontent.xx.fbcdn.net/v/t1.0-9/s720x720/26219967_639958762845789_2771520080545160637_n.jpg?oh=cf62b22c60948900370ce1a78dbf490f&amp;oe=5B446010', 'offset_x': 50, 'id': '639958762845789', 'cover_id': '639958762845789', 'offset_y': 0}</t>
  </si>
  <si>
    <t>{'zip': '91919', 'longitude': 35.20092159218, 'country': 'Israel', 'street': '3 Kaplan Street', 'latitude': 31.780556243751, 'city': 'Jerusalem'}</t>
  </si>
  <si>
    <t>{'source': 'https://scontent.xx.fbcdn.net/v/t1.0-0/p180x540/28685651_2031105043570897_3728440257591377920_n.jpg?oh=d12c89605d740d8f73fe633196ba29cb&amp;oe=5B4CC791', 'offset_x': 0, 'id': '2031105040237564', 'cover_id': '2031105040237564', 'offset_y': 50}</t>
  </si>
  <si>
    <t>{'zip': '91919', 'longitude': 35.17534, 'country': 'Israel', 'street': 'شارع كابلان 3', 'latitude': 31.78721, 'city': 'Jerusalem'}</t>
  </si>
  <si>
    <t>{'source': 'https://scontent.xx.fbcdn.net/v/t1.0-0/p180x540/28576582_1692503770797482_2812913676479717710_n.jpg?oh=d56d5bd54cb9addd2e7d409cd117c35e&amp;oe=5B03A0A4', 'offset_x': 0, 'id': '1692503770797482', 'cover_id': '1692503770797482', 'offset_y': 50}</t>
  </si>
  <si>
    <t>{'zip': '91035', 'longitude': 35.201538575321, 'country': 'Israel', 'street': '9 Sderot Yitshak Rabin', 'latitude': 31.782491927726, 'city': 'Jerusalem'}</t>
  </si>
  <si>
    <t>{'source': 'https://scontent.xx.fbcdn.net/v/t31.0-8/s720x720/10320990_10152211352811317_9016378728635851833_o.jpg?oh=e7e8bc344ee7d7cac5bc82d508436138&amp;oe=5B46F316', 'offset_x': 0, 'id': '10152211352811317', 'cover_id': '10152211352811317', 'offset_y': 0}</t>
  </si>
  <si>
    <t>{'zip': '10110', 'longitude': 106.95747133734, 'country': 'Indonesia', 'street': 'Jl.Medan Merdeka Utara', 'latitude': -6.2595304868536, 'city': 'Jakarta'}</t>
  </si>
  <si>
    <t>{'zip': '00135', 'longitude': 12.45869, 'country': 'Italy', 'street': 'Piazzale della Farnesina, 1', 'latitude': 41.93804, 'city': 'Rome'}</t>
  </si>
  <si>
    <t>{'source': 'https://scontent.xx.fbcdn.net/v/t31.0-8/s720x720/17990426_267862760290563_3546748099176238462_o.png?oh=5da9d8f885d96cf92f4769e838cc47ed&amp;oe=5B3AB575', 'offset_x': 0, 'id': '267862760290563', 'cover_id': '267862760290563', 'offset_y': 93}</t>
  </si>
  <si>
    <t>{'state': 'DF', 'longitude': -47.867051550446, 'country': 'Brazil', 'street': 'Palácio Itamaraty - Esplanada dos Ministérios - Bloco H', 'latitude': -15.800565039754, 'city': 'Brasília', 'zip': '70170-900'}</t>
  </si>
  <si>
    <t>{'source': 'https://scontent.xx.fbcdn.net/v/t31.0-8/s720x720/27709493_1897647423601866_539442532472030451_o.jpg?oh=2d45e4fd8f8af4c92f14659f54d72f40&amp;oe=5B3582A9', 'offset_x': 0, 'id': '1897647423601866', 'cover_id': '1897647423601866', 'offset_y': 0}</t>
  </si>
  <si>
    <t>{'city': 'Caracas', 'longitude': -66.915144324303, 'country': 'Venezuela', 'street': 'Casa Amarilla', 'latitude': 10.506399712373}</t>
  </si>
  <si>
    <t>{'source': 'https://scontent.xx.fbcdn.net/v/t31.0-0/p240x240/20746407_1182900038510179_4735981565054800191_o.jpg?oh=e5369072b63119ecce1e42d43f59f583&amp;oe=5B46422E', 'offset_x': 123, 'id': '1182900038510179', 'cover_id': '1182900038510179', 'offset_y': 0}</t>
  </si>
  <si>
    <t>{'source': 'https://scontent.xx.fbcdn.net/v/t31.0-8/s720x720/20545416_10154591652272441_7123649687114287446_o.jpg?oh=4d84503b24ed47114005de0467f5c0bd&amp;oe=5B4626AF', 'offset_x': 0, 'id': '10154591652272441', 'cover_id': '10154591652272441', 'offset_y': 49}</t>
  </si>
  <si>
    <t>{'source': 'https://scontent.xx.fbcdn.net/v/t31.0-8/p720x720/23511361_1897213873642010_4783619151229941523_o.jpg?oh=40fa99a1efbbb6c12a4e05c08159e7cf&amp;oe=5B01709D', 'offset_x': 0, 'id': '1897213873642010', 'cover_id': '1897213873642010', 'offset_y': 39}</t>
  </si>
  <si>
    <t>{'zip': '100-8968', 'street': '1-6-1 Nagata-cho'}</t>
  </si>
  <si>
    <t>{'source': 'https://scontent.xx.fbcdn.net/v/t31.0-8/s720x720/23331320_1709848299087358_6680747865604162245_o.jpg?oh=96362698ccbbec75b5243b8f01124f87&amp;oe=5B33F31F', 'offset_x': 0, 'id': '1709848299087358', 'cover_id': '1709848299087358', 'offset_y': 8}</t>
  </si>
  <si>
    <t>{'state': 'Tokyo', 'longitude': 139.74163752523, 'country': 'Japan', 'street': '永田町1-6-1', 'latitude': 35.687258313261, 'city': 'Chiyoda-ku', 'zip': '100-8968'}</t>
  </si>
  <si>
    <t>{'source': 'https://scontent.xx.fbcdn.net/v/t31.0-0/p480x480/28954286_1659327490791043_594912383273859962_o.jpg?oh=aa91abbea98f532ebe8ac863cef7fabb&amp;oe=5B4B0080', 'offset_x': 0, 'id': '1659327490791043', 'cover_id': '1659327490791043', 'offset_y': 54}</t>
  </si>
  <si>
    <t>{'state': 'WA', 'longitude': 115.82412, 'country': 'Australia', 'street': '414 Rokeby Road', 'latitude': -31.95617, 'city': 'Subiaco', 'zip': '6008'}</t>
  </si>
  <si>
    <t>{'source': 'https://scontent.xx.fbcdn.net/v/t31.0-8/s720x720/27625162_1570858846283345_2523453613073930575_o.jpg?oh=260ab065a210d2000910295b16c9e6d7&amp;oe=5B001964', 'offset_x': 0, 'id': '1570858846283345', 'cover_id': '1570858846283345', 'offset_y': 23}</t>
  </si>
  <si>
    <t>{'source': 'https://scontent.xx.fbcdn.net/v/t1.0-9/s720x720/29027055_342074979633660_2483835683844653056_o.jpg?oh=86782e2e99c5c737edc77d7ed3716743&amp;oe=5B007B06', 'offset_x': 0, 'id': '342074972966994', 'cover_id': '342074972966994', 'offset_y': 50}</t>
  </si>
  <si>
    <t>{'source': 'https://scontent.xx.fbcdn.net/v/t31.0-8/s720x720/22181560_1665727423499058_1646619249631207770_o.jpg?oh=176afa017ff683db03ecdf777008de48&amp;oe=5B39C909', 'offset_x': 0, 'id': '1665727423499058', 'cover_id': '1665727423499058', 'offset_y': 19}</t>
  </si>
  <si>
    <t>{'source': 'https://scontent.xx.fbcdn.net/v/t1.0-9/s720x720/28059025_10156085801428904_8355424483632689934_n.jpg?oh=3442db64fc991a6a676729ebac92cd26&amp;oe=5B04856B', 'offset_x': 0, 'id': '10156085801428904', 'cover_id': '10156085801428904', 'offset_y': 20}</t>
  </si>
  <si>
    <t>{'source': 'https://scontent.xx.fbcdn.net/v/t1.0-9/s720x720/26730974_822625061259678_5996847404124450281_n.jpg?oh=5913dc2624afa8ff338f8f24bfd48ce4&amp;oe=5B2D248F', 'offset_x': 0, 'id': '822625061259678', 'cover_id': '822625061259678', 'offset_y': 0}</t>
  </si>
  <si>
    <t>{'source': 'https://scontent.xx.fbcdn.net/v/t31.0-8/s720x720/10001176_797492340268867_8818382721078208669_o.png?oh=09eed0b7159f159dff411778628567d8&amp;oe=5B44A33E', 'offset_x': 0, 'id': '797492340268867', 'cover_id': '797492340268867', 'offset_y': 62}</t>
  </si>
  <si>
    <t>JOMAVpaginaoficial</t>
  </si>
  <si>
    <t>José Mário Vaz - Presidente da Republica da Guiné-Bissau</t>
  </si>
  <si>
    <t>José Mário Vaz, conhecido como Jomav, (nasceu em Cacheu, 10 de dezembro de 1957) é um economista e político guineense e desde 23 de junho de 2014, o Presidente da Guiné-Bissau. 
Foi ministro das Finanças, e membro do PAIGC. José Mário Vaz apresenta-se como homem que imprime rigor na administração pública e como um acérrimo defensor do trabalho, tendo já sido presidente da Câmara Municipal de Bissau e ministro das Finanças do governo deposto pelo golpe de Estado de 2012.
conhecido como "o homem do 25" por ter conseguido pagar pontualmente os ordenados da função pública (no dia 25 de cada mês) quando era ministro das Finanças.l</t>
  </si>
  <si>
    <t>https://www.facebook.com/JOMAVpaginaoficial/</t>
  </si>
  <si>
    <t>{'city': 'Presidencia da República - Praça dos Herois Nacionais', 'zip': 'C.P. 01 - Bissau - Rep. Guiné Bissau'}</t>
  </si>
  <si>
    <t>{'source': 'https://scontent.xx.fbcdn.net/v/t31.0-8/s720x720/13558962_147907258950966_4916729234453072380_o.jpg?oh=2f1152e551b9b656e0d083d441815768&amp;oe=5B2D61CD', 'offset_x': 0, 'id': '147907258950966', 'cover_id': '147907258950966', 'offset_y': 26}</t>
  </si>
  <si>
    <t>C.P. 01 - Bissau - Rep. Guiné Bissau Presidencia da República - Praça dos Herois Nacionais</t>
  </si>
  <si>
    <t>{'source': 'https://scontent.xx.fbcdn.net/v/t1.0-9/26230962_1575359995894070_8441767624868098840_n.jpg?oh=c5fd0349b41578f97e0769ab8446b0fc&amp;oe=5B3D2095', 'offset_x': 0, 'id': '1575359995894070', 'cover_id': '1575359995894070', 'offset_y': 50}</t>
  </si>
  <si>
    <t>{'source': 'https://scontent.xx.fbcdn.net/v/t1.0-9/s720x720/24177074_1605483256179116_6736497474526108893_n.png?oh=cf84c6677ceedabfca5c0a1888dca2fe&amp;oe=5B4335AB', 'offset_x': 600, 'id': '1605483256179116', 'cover_id': '1605483256179116', 'offset_y': 0}</t>
  </si>
  <si>
    <t>{'source': 'https://scontent.xx.fbcdn.net/v/t1.0-9/s720x720/29136979_10157326485024741_5036019273919627264_o.jpg?oh=2242ad447bb51558190dcdac40cbd1a5&amp;oe=5B2E6C59', 'offset_x': 0, 'id': '10157326485014741', 'cover_id': '10157326485014741', 'offset_y': 5}</t>
  </si>
  <si>
    <t>{'longitude': -72.2853, 'latitude': 18.5125}</t>
  </si>
  <si>
    <t>{'source': 'https://scontent.xx.fbcdn.net/v/t31.0-8/s720x720/16601763_1717854718545023_3081347654769157749_o.jpg?oh=937aa00b677ddfe220d5a5d31e109bb9&amp;oe=5B31193E', 'offset_x': 20, 'id': '1717854718545023', 'cover_id': '1717854718545023', 'offset_y': 0}</t>
  </si>
  <si>
    <t>{'source': 'https://scontent.xx.fbcdn.net/v/t1.0-9/s720x720/29063392_1647076532012914_9167540322454994944_n.jpg?oh=a46dfc124a76de8d263c85faacfaa866&amp;oe=5B2FCFA1', 'offset_x': 0, 'id': '1647076528679581', 'cover_id': '1647076528679581', 'offset_y': 0}</t>
  </si>
  <si>
    <t>{'source': 'https://scontent.xx.fbcdn.net/v/t31.0-8/s720x720/28070491_2126383370984477_1564897111443631496_o.jpg?oh=b04c02094cfdc11465472875b707a9b4&amp;oe=5B322A68', 'offset_x': 0, 'id': '2126383370984477', 'cover_id': '2126383370984477', 'offset_y': 27}</t>
  </si>
  <si>
    <t>{'source': 'https://scontent.xx.fbcdn.net/v/t1.0-0/p403x403/21740473_10155026338738129_6976875364357645171_n.jpg?oh=3d2524907063b5c7411e85c5a13b2606&amp;oe=5B4B8DF3', 'offset_x': 0, 'id': '10155026338738129', 'cover_id': '10155026338738129', 'offset_y': 50}</t>
  </si>
  <si>
    <t>{'source': 'https://scontent.xx.fbcdn.net/v/t1.0-9/s720x720/26903636_10156367119985649_3600915770360810041_n.jpg?oh=f8118221427910e8892e793810914399&amp;oe=5B457758', 'offset_x': 0, 'id': '10156367119985649', 'cover_id': '10156367119985649', 'offset_y': 41}</t>
  </si>
  <si>
    <t>{'source': 'https://scontent.xx.fbcdn.net/v/t31.0-8/s720x720/12370748_1069915349739549_2817537592047470273_o.jpg?oh=309e1e303edfa44223572848930b5c46&amp;oe=5B4119FF', 'offset_x': 0, 'id': '1069915349739549', 'cover_id': '1069915349739549', 'offset_y': 29}</t>
  </si>
  <si>
    <t>{'source': 'https://scontent.xx.fbcdn.net/v/t31.0-8/s720x720/21950990_1771821599495947_1441451211513270595_o.jpg?oh=a8179d15a29b2677e71b5c980c5b996a&amp;oe=5B45CC0F', 'offset_x': 0, 'id': '1771821599495947', 'cover_id': '1771821599495947', 'offset_y': 10}</t>
  </si>
  <si>
    <t>{'zip': '01008', 'longitude': 30.5347163, 'country': 'Ukraine', 'street': 'вулиця Михайла Грушевського, № 12/2 /vulytsya Mykhayla Hrushevskoho, № 12/2 .', 'latitude': 50.4471291, 'city': 'Kyiv', 'located_in': '174431545947835'}</t>
  </si>
  <si>
    <t>{'source': 'https://scontent.xx.fbcdn.net/v/t1.0-9/s720x720/26992709_1780537011979685_4176348598509002550_n.jpg?oh=f3583389084e2efeaff8fff547f4dd4a&amp;oe=5B3F9404', 'offset_x': 0, 'id': '1780537011979685', 'cover_id': '1780537011979685', 'offset_y': 0}</t>
  </si>
  <si>
    <t>{'source': 'https://scontent.xx.fbcdn.net/v/t31.0-8/q85/s720x720/21993171_1442931062411178_3845926965937234085_o.jpg?oh=4ebfa1cf3dcf82b10b91cedc686c2702&amp;oe=5B399543', 'offset_x': 0, 'id': '1442931062411178', 'cover_id': '1442931062411178', 'offset_y': 50}</t>
  </si>
  <si>
    <t>{'zip': '00-583', 'longitude': 21.02578, 'country': 'Poland', 'street': 'Al. Ujazdowskie 1/3', 'latitude': 52.21579, 'city': 'Warsaw'}</t>
  </si>
  <si>
    <t>{'source': 'https://scontent.xx.fbcdn.net/v/t31.0-8/s720x720/24958884_10156150432829653_2379233343659904965_o.jpg?oh=1128339e8ccc0db57389bfb262a00710&amp;oe=5B3526BB', 'offset_x': 0, 'id': '10156150432829653', 'cover_id': '10156150432829653', 'offset_y': 0}</t>
  </si>
  <si>
    <t>{'fri_1_open': '08:15', 'tue_1_open': '08:15', 'mon_1_close': '16:15', 'mon_1_open': '08:15', 'tue_1_close': '16:15', 'wed_1_open': '08:15', 'thu_1_open': '08:15', 'wed_1_close': '16:15', 'fri_1_close': '16:15', 'thu_1_close': '16:15'}</t>
  </si>
  <si>
    <t>{'zip': '00-902', 'longitude': 21.015093818185, 'country': 'Poland', 'street': 'ul. Krakowskie Przedmieście 48/50', 'latitude': 52.24256251757, 'city': 'Warsaw'}</t>
  </si>
  <si>
    <t>{'source': 'https://scontent.xx.fbcdn.net/v/t1.0-0/p480x480/29133616_1875848742490260_2813244368184410112_o.jpg?oh=65cb35f4ab39006aa8edfa2dbe250d18&amp;oe=5B356279', 'offset_x': 0, 'id': '1875848732490261', 'cover_id': '1875848732490261', 'offset_y': 1}</t>
  </si>
  <si>
    <t>{'zip': '10110', 'longitude': 106.82602, 'country': 'Indonesia', 'street': 'Gedung Bina Graha  Jl. Veteran No. 16 Jakarta Pusat', 'latitude': -6.16757, 'city': 'Jakarta'}</t>
  </si>
  <si>
    <t>{'source': 'https://scontent.xx.fbcdn.net/v/t31.0-8/s720x720/17311118_312237499193731_6602048589843542931_o.jpg?oh=3a795931e51889229f6818ac5bcd7543&amp;oe=5B3F9544', 'offset_x': 0, 'id': '312237499193731', 'cover_id': '312237499193731', 'offset_y': 0}</t>
  </si>
  <si>
    <t>{'city': 'Երևան', 'zip': '0010', 'street': 'Կառավարական տուն 1, Հանրապետության Հրապարակ'}</t>
  </si>
  <si>
    <t>{'source': 'https://scontent.xx.fbcdn.net/v/t31.0-8/s720x720/26758000_1558855800850413_7560040762099557659_o.jpg?oh=a68b193d038ad38788e775c71bc83562&amp;oe=5B367FA0', 'offset_x': 0, 'id': '1558855800850413', 'cover_id': '1558855800850413', 'offset_y': 42}</t>
  </si>
  <si>
    <t>{'zip': '010000', 'longitude': 71.41687326, 'country': 'Kazakhstan', 'street': '31 Kunayev Street', 'latitude': 51.13585185, 'city': 'Astana'}</t>
  </si>
  <si>
    <t>{'source': 'https://scontent.xx.fbcdn.net/v/t31.0-8/s720x720/28698747_1249775418491691_7073620527845150040_o.jpg?oh=581bba21072c6ef450be3defb48f7631&amp;oe=5B3956B1', 'offset_x': 0, 'id': '1249775418491691', 'cover_id': '1249775418491691', 'offset_y': 39}</t>
  </si>
  <si>
    <t>{'fri_1_open': '09:00', 'tue_1_open': '09:00', 'mon_1_close': '18:30', 'mon_1_open': '09:00', 'tue_1_close': '18:30', 'wed_1_open': '09:00', 'thu_1_open': '09:00', 'wed_1_close': '18:30', 'fri_1_close': '18:30', 'thu_1_close': '18:30'}</t>
  </si>
  <si>
    <t>{'zip': '10110', 'longitude': 106.83366103118, 'country': 'Indonesia', 'street': 'Taman Pejambon no.6', 'latitude': -6.1744764344184, 'city': 'Jakarta'}</t>
  </si>
  <si>
    <t>{'source': 'https://scontent.xx.fbcdn.net/v/t31.0-8/s720x720/17632409_1660088747360891_4529611588524622479_o.jpg?oh=7c5b9123d10aaa0277c42f9bfb3af5ef&amp;oe=5B34D0B7', 'offset_x': 0, 'id': '1660088747360891', 'cover_id': '1660088747360891', 'offset_y': 33}</t>
  </si>
  <si>
    <t>{'city': 'Tallinn', 'zip': '15050', 'street': 'A. Weizenbergi 39'}</t>
  </si>
  <si>
    <t>{'source': 'https://scontent.xx.fbcdn.net/v/t31.0-0/q87/p240x240/27503463_2012141775725278_1049869574701033260_o.jpg?oh=1222c2f1b5ec31c4e83de008283d5c0a&amp;oe=5B38A028', 'offset_x': 66, 'id': '2012141775725278', 'cover_id': '2012141775725278', 'offset_y': 0}</t>
  </si>
  <si>
    <t>{'city': 'Dushanbe', 'zip': '734023', 'longitude': 68.782675266266, 'country': 'Tajikistan', 'latitude': 38.578710043046}</t>
  </si>
  <si>
    <t>{'source': 'https://scontent.xx.fbcdn.net/v/t31.0-8/s720x720/414011_289742701095923_3341596_o.jpg?oh=2fc156be8f337042868f64a51ce8510e&amp;oe=5B2FA0E8', 'offset_x': 0, 'id': '289742701095923', 'cover_id': '289742701095923', 'offset_y': 17}</t>
  </si>
  <si>
    <t>{'source': 'https://scontent.xx.fbcdn.net/v/t31.0-8/s720x720/18922453_1432017003546791_2071127554890888779_o.jpg?oh=10da4e787056beb38eb2485604fb4e8d&amp;oe=5B4B412E', 'offset_x': 0, 'id': '1432017003546791', 'cover_id': '1432017003546791', 'offset_y': 75}</t>
  </si>
  <si>
    <t>{'source': 'https://scontent.xx.fbcdn.net/v/t31.0-0/p240x240/11896525_717278885044680_4588957115209158016_o.png?oh=ea427a4d744da06c96fd67fd8f8bc25c&amp;oe=5B3E465A', 'offset_x': 0, 'id': '717278885044680', 'cover_id': '717278885044680', 'offset_y': 0}</t>
  </si>
  <si>
    <t>{'source': 'https://scontent.xx.fbcdn.net/v/t1.0-9/s720x720/734468_738881579459134_1674747351_n.jpg?oh=5d146b3722c31bc14d0f6fd109cd1f21&amp;oe=5B2F98A2', 'offset_x': 0, 'id': '738881579459134', 'cover_id': '738881579459134', 'offset_y': 0}</t>
  </si>
  <si>
    <t>{'source': 'https://scontent.xx.fbcdn.net/v/t1.0-9/21558621_1216855665080808_1951415279766408798_n.jpg?oh=6ba11c8e994eaab7dbb3b493ec3fe0b8&amp;oe=5B4B07F3', 'offset_x': 0, 'id': '1216855665080808', 'cover_id': '1216855665080808', 'offset_y': 25}</t>
  </si>
  <si>
    <t>{'source': 'https://scontent.xx.fbcdn.net/v/t1.0-9/s720x720/10433196_10152834849433260_2531906434843505406_n.jpg?oh=fbbe43c10038668850fe8f153cc10399&amp;oe=5B469EEB', 'offset_x': 0, 'id': '10152834849433260', 'cover_id': '10152834849433260', 'offset_y': 0}</t>
  </si>
  <si>
    <t>{'source': 'https://scontent.xx.fbcdn.net/v/t31.0-8/s720x720/28619316_1639726579447920_4626546141032838518_o.jpg?oh=23f79c45c236007983c359085a1ea802&amp;oe=5B441CA7', 'offset_x': 0, 'id': '1639726579447920', 'cover_id': '1639726579447920', 'offset_y': 0}</t>
  </si>
  <si>
    <t>{'city': 'Astana', 'zip': '010000', 'country': 'Kazakhstan', 'street': 'Үкімет үйі, Орынбор 6'}</t>
  </si>
  <si>
    <t>{'city': 'Zagreb', 'zip': '10000', 'country': 'Croatia', 'street': 'Pantovčak 241'}</t>
  </si>
  <si>
    <t>{'source': 'https://scontent.xx.fbcdn.net/v/t31.0-8/s720x720/10960458_822184614515166_5170124476458769195_o.jpg?oh=5fe84175aa199a1927157541ef4210d7&amp;oe=5B3D3088', 'offset_x': 0, 'id': '822184614515166', 'cover_id': '822184614515166', 'offset_y': 29}</t>
  </si>
  <si>
    <t>{'source': 'https://scontent.xx.fbcdn.net/v/t1.0-9/s720x720/12400817_10156387301120247_5111690702523261869_n.png?oh=a7ebb62994b26fbef22a3d9deb6441c3&amp;oe=5B3E8DC3', 'offset_x': 0, 'id': '10156387301120247', 'cover_id': '10156387301120247', 'offset_y': 0}</t>
  </si>
  <si>
    <t>{'zip': '140-797', 'longitude': 126.98068252874, 'country': 'South Korea', 'street': '137, Seoubinggo-ro, Yongsan-gu', 'latitude': 37.523908324086, 'city': 'Seoul'}</t>
  </si>
  <si>
    <t>{'source': 'https://scontent.xx.fbcdn.net/v/t1.0-9/s720x720/28796040_10156230820764521_2805935592272035840_o.jpg?oh=74d7113ecc4913d6ea3f8d98e8199a94&amp;oe=5AFF9EF1', 'offset_x': 0, 'id': '10156230820749521', 'cover_id': '10156230820749521', 'offset_y': 0}</t>
  </si>
  <si>
    <t>{'source': 'https://scontent.xx.fbcdn.net/v/t1.0-9/s720x720/29133670_1883193248420053_2009410877614194688_n.jpg?oh=1f21f1f12686fecef8e0bd7125948799&amp;oe=5B000BB2', 'offset_x': 600, 'id': '1883193245086720', 'cover_id': '1883193245086720', 'offset_y': 0}</t>
  </si>
  <si>
    <t>{'source': 'https://scontent.xx.fbcdn.net/v/t1.0-9/s720x720/13007260_1065368656834954_508210545223072886_n.jpg?oh=752ae50921506bce6eb476b1715c6cad&amp;oe=5B2DD9E9', 'offset_x': 600, 'id': '1065368656834954', 'cover_id': '1065368656834954', 'offset_y': 0}</t>
  </si>
  <si>
    <t>{'source': 'https://scontent.xx.fbcdn.net/v/t31.0-8/s720x720/22256788_1943948962281989_3889037053083040297_o.jpg?oh=bf10c89490fe16b90c689e8bbdc2fb78&amp;oe=5B4E58A7', 'offset_x': 61, 'id': '1943948962281989', 'cover_id': '1943948962281989', 'offset_y': 0}</t>
  </si>
  <si>
    <t>{'city': 'Stockholm', 'zip': '111 30', 'country': 'Sweden', 'street': 'Kungliga slottet'}</t>
  </si>
  <si>
    <t>{'source': 'https://scontent.xx.fbcdn.net/v/t31.0-8/s720x720/27501120_1692715547454017_7023042889429250535_o.jpg?oh=94dbcbf624c583f355db2bc07d283ef5&amp;oe=5B3DFFB2', 'offset_x': 50, 'id': '1692715547454017', 'cover_id': '1692715547454017', 'offset_y': 0}</t>
  </si>
  <si>
    <t>{'source': 'https://scontent.xx.fbcdn.net/v/t1.0-9/s720x720/20992660_505005733177789_4836892976395229808_n.png?oh=cfda205976f92556e6b8b51b26d08a8d&amp;oe=5B02ED2F', 'offset_x': 0, 'id': '505005733177789', 'cover_id': '505005733177789', 'offset_y': 0}</t>
  </si>
  <si>
    <t>{'source': 'https://scontent.xx.fbcdn.net/v/t31.0-8/s720x720/21752700_1451452028266390_799284525900409207_o.jpg?oh=616df5472ec0ab4ed282ab6a85e13609&amp;oe=5B35DB52', 'offset_x': 0, 'id': '1451452028266390', 'cover_id': '1451452028266390', 'offset_y': 46}</t>
  </si>
  <si>
    <t>{'source': 'https://scontent.xx.fbcdn.net/v/t31.0-0/p180x540/26685635_10155978965333788_3925545826963230472_o.jpg?oh=54589b8d380340fb7371abf70ad7980c&amp;oe=5B4BBD5A', 'offset_x': 0, 'id': '10155978965333788', 'cover_id': '10155978965333788', 'offset_y': 50}</t>
  </si>
  <si>
    <t>{'city': 'Riga', 'zip': 'LV-1395', 'longitude': 24.107497898847, 'country': 'Latvia', 'latitude': 56.954460677776}</t>
  </si>
  <si>
    <t>{'source': 'https://scontent.xx.fbcdn.net/v/t31.0-8/s720x720/415965_449863108375124_1988959285_o.jpg?oh=9d3c3eb200cbbc4ac3f46d7af98f21ac&amp;oe=5B45AFC1', 'offset_x': 0, 'id': '449863108375124', 'cover_id': '449863108375124', 'offset_y': 100}</t>
  </si>
  <si>
    <t>{'zip': 'Singapore 238823', 'street': 'Istana, Orchard Road'}</t>
  </si>
  <si>
    <t>{'source': 'https://scontent.xx.fbcdn.net/v/t31.0-8/q82/s720x720/28616357_1783090601753638_8850475818468859680_o.jpg?oh=bd15578529d93a5d4d12eaccee0df79b&amp;oe=5B4E511F', 'offset_x': 63, 'id': '1783090601753638', 'cover_id': '1783090601753638', 'offset_y': 0}</t>
  </si>
  <si>
    <t>{'source': 'https://scontent.xx.fbcdn.net/v/t1.0-9/s720x720/22687638_869481879877937_1435861140240392143_n.jpg?oh=0f6fd52cb3baac051e4373c9e7f36956&amp;oe=5B4A6B70', 'offset_x': 0, 'id': '869481879877937', 'cover_id': '869481879877937', 'offset_y': 0}</t>
  </si>
  <si>
    <t>{'source': 'https://scontent.xx.fbcdn.net/v/t31.0-8/s720x720/18491758_1338898539512130_1517052759118360683_o.png?oh=83429a1e183ddd0465c9e00bcced2710&amp;oe=5B49324A', 'offset_x': 0, 'id': '1338898539512130', 'cover_id': '1338898539512130', 'offset_y': 0}</t>
  </si>
  <si>
    <t>{'zip': '00218', 'longitude': 13.18577317791, 'country': 'Libya', 'street': 'طريق السكة', 'latitude': 32.902697686187, 'city': 'Tripoli'}</t>
  </si>
  <si>
    <t>{'source': 'https://scontent.xx.fbcdn.net/v/t1.0-9/s720x720/15590101_1164103633709741_9086533172039964360_n.jpg?oh=7a6e9cfac70482f9919cc2eb8f76f6e5&amp;oe=5B3187EC', 'offset_x': 0, 'id': '1164103633709741', 'cover_id': '1164103633709741', 'offset_y': 50}</t>
  </si>
  <si>
    <t>Lindiwe Sisulu</t>
  </si>
  <si>
    <t>Lindiwe Nonceba Sisulu has been the South African Minister of Human Settlements since 26 May 2014, and has been a Member of Parliament since 1994.</t>
  </si>
  <si>
    <t>Lindiwe Nonceba Sisulu has been the South African Minister of Human Settlements since 26 May 2014, and has been a Member of Parliament since 1994.
Ms Sisulu is member of the National Executive Committee of the African National Congress (ANC) and a member of the ANC National Working Committee. She was a trustee of the South African Democracy Education Trust; trustee of the Albertina and Walter Sisulu Trust; and a member of the Board of the Nelson Mandela Foundation.
In 1981, Ms Sisulu taught at Manzini Central High School in Swaziland. From 1985 to 1987, she taught at Manzini Teachers Training College and she was a chief examiner of History for Junior Certificate Examinations for Botswana, Lesotho and Swaziland. In 1983, she worked as sub-editor for The Times of Swaziland in Mbabane.
Ms Sisulu returned to South Africa in 1990 and worked as a personal assistant to Jacob Zuma as head of the ANC’s Department of Intelligence. She also served as Chief Administrator for the ANC at the Convention for a Democratic South Africa in 1991 and as administrator of Intelligence at the ANC Department of Intelligence and Security in 1992.
In 1992, Ms Sisulu became a consultant for the National Children’s Right Committee of the United Nations Educational, Scientific, and Cultural Organisation. In 1993, she worked as director of the Govan Mbeki Research Fellowship at the University of Fort Hare and from 2000 to 2002, she served as head of the Command Centre for Emergency Reconstruction.
Ms Sisulu was a member of the Management Committee, Policing Organisation and Management course of the University of the Witwatersrand in 1993; a member of management of the Sub-Council on Intelligence, Transitional Executive Council in 1994, and chairperson of the Parliamentary Joint Standing Committee on Intelligence from 1995 to 1996.
Prior to her appointment as Minister of Public Service and Administration, Ms Sisulu has served as Deputy Minister of Home from 1996 to 2001. She was Minister of Intelligence from January 2001 to April 2004; Minister of Housing from April 2004 to May 2009; and Minister of Defence and Military Veterans from May 2009 to June 2012.</t>
  </si>
  <si>
    <t>https://www.facebook.com/LindiweSisuluSA/</t>
  </si>
  <si>
    <t>{'source': 'https://scontent.xx.fbcdn.net/v/t1.0-9/s720x720/25398934_1671843596211442_4175420284918707618_n.jpg?oh=d299c47d5df37ac9653e7eec4a8789c5&amp;oe=5B470FB8', 'offset_x': 0, 'id': '1671843596211442', 'cover_id': '1671843596211442', 'offset_y': 50}</t>
  </si>
  <si>
    <t>{'source': 'https://scontent.xx.fbcdn.net/v/t1.0-9/s720x720/15781822_764340973723833_4676286550821304864_n.jpg?oh=a11b464db317ad76250f9807fd65b3ed&amp;oe=5B40E8DD', 'offset_x': -8, 'id': '764340973723833', 'cover_id': '764340973723833', 'offset_y': 0}</t>
  </si>
  <si>
    <t>{'source': 'https://scontent.xx.fbcdn.net/v/t1.0-9/27858632_1980677935295049_214120319203335213_n.jpg?oh=d3d16a71e514d7b5cd0b2391cf426e15&amp;oe=5B4CBAEB', 'offset_x': 0, 'id': '1980677935295049', 'cover_id': '1980677935295049', 'offset_y': 50}</t>
  </si>
  <si>
    <t>{'city': 'Скопје', 'zip': '1000', 'street': 'Ацо Караманов 33 А'}</t>
  </si>
  <si>
    <t>{'source': 'https://scontent.xx.fbcdn.net/v/t31.0-8/s720x720/28061570_10155445814466158_7640633968451258986_o.jpg?oh=38cf9ab7c46c7172aef6ca83ee03efc2&amp;oe=5B2D37E3', 'offset_x': 0, 'id': '10155445814466158', 'cover_id': '10155445814466158', 'offset_y': 62}</t>
  </si>
  <si>
    <t>{'zip': '252', 'longitude': 45.3667, 'country': 'Somalia', 'street': 'Airport roadNext Hotel Jazeera', 'latitude': 2.06667, 'city': 'Mogadishu'}</t>
  </si>
  <si>
    <t>{'source': 'https://scontent.xx.fbcdn.net/v/t1.0-9/23032747_1497596960331434_1315943212922139705_n.jpg?oh=0bc368a1a6a189a4b01de18e865563ac&amp;oe=5B040D60', 'offset_x': 0, 'id': '1497596960331434', 'cover_id': '1497596960331434', 'offset_y': 50}</t>
  </si>
  <si>
    <t>{'zip': '011822', 'longitude': 26.0897198, 'country': 'Romania', 'street': 'Aleea Alexandru nr. 31, sector 1', 'latitude': 44.4577293, 'city': 'Bucharest'}</t>
  </si>
  <si>
    <t>{'source': 'https://scontent.xx.fbcdn.net/v/t1.0-9/s720x720/26167444_10154453802097168_8604141688277520681_n.png?oh=0f8df6bac21d36f0fc292ca7389e4b55&amp;oe=5B2F0AA3', 'offset_x': 0, 'id': '10154453802097168', 'cover_id': '10154453802097168', 'offset_y': 0}</t>
  </si>
  <si>
    <t>{'source': 'https://scontent.xx.fbcdn.net/v/t31.0-0/p480x480/23270310_1735589656474575_413168345288279637_o.jpg?oh=e768943330c5a7ed846d020b61b62461&amp;oe=5B04E27A', 'offset_x': 0, 'id': '1735589656474575', 'cover_id': '1735589656474575', 'offset_y': 46}</t>
  </si>
  <si>
    <t>{'source': 'https://scontent.xx.fbcdn.net/v/t31.0-0/q83/p180x540/26172595_529404217438569_747008498960939711_o.jpg?oh=8996380fec7739fabec97720d3ad923c&amp;oe=5B401842', 'offset_x': 0, 'id': '529404217438569', 'cover_id': '529404217438569', 'offset_y': 50}</t>
  </si>
  <si>
    <t>{'zip': 'L-1841', 'longitude': 6.13304, 'country': 'Luxembourg', 'street': '9, rue Palais de Justice', 'latitude': 49.61199, 'city': 'Luxembourg'}</t>
  </si>
  <si>
    <t>{'source': 'https://scontent.xx.fbcdn.net/v/t31.0-0/q83/p240x240/12901205_1734386696785149_80832618820998867_o.jpg?oh=ff6ced344d2096ebdfcf66fe811ddf77&amp;oe=5B3EF3EA', 'offset_x': 124, 'id': '1734386696785149', 'cover_id': '1734386696785149', 'offset_y': 0}</t>
  </si>
  <si>
    <t>{'fri_1_open': '08:00', 'tue_1_open': '08:00', 'mon_1_close': '18:00', 'mon_1_open': '08:00', 'tue_1_close': '18:00', 'wed_1_open': '08:00', 'thu_1_open': '08:00', 'wed_1_close': '18:00', 'fri_1_close': '18:00', 'thu_1_close': '18:00'}</t>
  </si>
  <si>
    <t>{'zip': 'MD-2012', 'longitude': 28.82487, 'country': 'Moldova', 'street': 'str. 31 August 1989, 80', 'latitude': 47.0261, 'city': 'Chisinau'}</t>
  </si>
  <si>
    <t>{'source': 'https://scontent.xx.fbcdn.net/v/t31.0-8/s720x720/22520217_1472997412769838_1421164077334248523_o.png?oh=34851e8aa0cea3d780b8f206d53c415d&amp;oe=5B3060AF', 'offset_x': 280, 'id': '1472997412769838', 'cover_id': '1472997412769838', 'offset_y': 0}</t>
  </si>
  <si>
    <t>{'city': 'Niamey', 'zip': '10000', 'country': 'Niger', 'street': 'Palais de la Présidence de la Republique'}</t>
  </si>
  <si>
    <t>{'source': 'https://scontent.xx.fbcdn.net/v/t1.0-0/p480x480/19884192_10154960280077326_5175809809280950556_n.jpg?oh=bdd7b650fd0f6dc5c536c5af926c28a4&amp;oe=5B497BE5', 'offset_x': 0, 'id': '10154960280077326', 'cover_id': '10154960280077326', 'offset_y': 61}</t>
  </si>
  <si>
    <t>{'source': 'https://scontent.xx.fbcdn.net/v/t31.0-8/s720x720/27628898_10155883783401327_7242417904196561502_o.jpg?oh=c9a19d98740365f7a1641ff3eb40e842&amp;oe=5B3D8E53', 'offset_x': 0, 'id': '10155883783401327', 'cover_id': '10155883783401327', 'offset_y': 0}</t>
  </si>
  <si>
    <t>{'source': 'https://scontent.xx.fbcdn.net/v/t1.0-9/s720x720/1470277_196303053889530_2069888522_n.png?oh=3617af285b6e6eef9e975d2b30c311b8&amp;oe=5B03BC73', 'offset_x': 0, 'id': '196303053889530', 'cover_id': '196303053889530', 'offset_y': 41}</t>
  </si>
  <si>
    <t>Official Facebook Page of the Prime Minister of Australia. Authorised by Malcolm Turnbull, Liberal Party of Australia, Sydney</t>
  </si>
  <si>
    <t>{'source': 'https://scontent.xx.fbcdn.net/v/t31.0-8/s720x720/23509194_10155985194256579_8614001428085931775_o.jpg?oh=66c95c239b8b6475a0a667ff5dc6ce9f&amp;oe=5B4CE74D', 'offset_x': 0, 'id': '10155985194256579', 'cover_id': '10155985194256579', 'offset_y': 0}</t>
  </si>
  <si>
    <t>{'zip': 'VLT 1102', 'longitude': 14.511115550995, 'country': 'Malta', 'street': 'Auberge De Castille', 'latitude': 35.895794788815, 'city': 'Valletta'}</t>
  </si>
  <si>
    <t>{'source': 'https://scontent.xx.fbcdn.net/v/t31.0-8/s720x720/24831053_1559943630748886_5832349216545783758_o.jpg?oh=8f6766d3f7e897cd94bfbf6da85a6875&amp;oe=5B2F4998', 'offset_x': 0, 'id': '1559943630748886', 'cover_id': '1559943630748886', 'offset_y': 29}</t>
  </si>
  <si>
    <t>{'source': 'https://scontent.xx.fbcdn.net/v/t1.0-0/p480x480/10547635_280029682202426_2380715286959193661_n.jpg?oh=765359f4c58d06546a4ef1e9ecfdce8e&amp;oe=5B39D4DB', 'offset_x': 0, 'id': '280029682202426', 'cover_id': '280029682202426', 'offset_y': 61}</t>
  </si>
  <si>
    <t>{'source': 'https://scontent.xx.fbcdn.net/v/t31.0-8/s720x720/25488103_730761100467257_2389771561338165675_o.jpg?oh=a5660bfcf3c3987a1bcf3cf44ce8bbbb&amp;oe=5B4420CC', 'offset_x': 0, 'id': '730761100467257', 'cover_id': '730761100467257', 'offset_y': 70}</t>
  </si>
  <si>
    <t>{'source': 'https://scontent.xx.fbcdn.net/v/t1.0-9/s720x720/12301504_911896878859376_1351980068082722141_n.jpg?oh=1d0289f1209f51aaf7770f375faa3b15&amp;oe=5B4068C3', 'offset_x': 0, 'id': '911896878859376', 'cover_id': '911896878859376', 'offset_y': 0}</t>
  </si>
  <si>
    <t>{'source': 'https://scontent.xx.fbcdn.net/v/t31.0-8/s720x720/28161626_10156142565121407_7322078856831447544_o.jpg?oh=73d594ad6d3539fa23670fe4158fcb9c&amp;oe=5B313332', 'offset_x': 0, 'id': '10156142565121407', 'cover_id': '10156142565121407', 'offset_y': 47}</t>
  </si>
  <si>
    <t>MateuszMorawieckiPremier</t>
  </si>
  <si>
    <t>https://www.premier.gov.pl/</t>
  </si>
  <si>
    <t>Mateusz Jakub Morawiecki (ur. 20 VI 1968) - od 16 X 2015 wicepremier w rządzie PiS, 8 XII 2017 roku desygnowany przez prezydenta na Prezesa Rady ministrów.</t>
  </si>
  <si>
    <t>https://www.facebook.com/MateuszMorawieckiPremier/</t>
  </si>
  <si>
    <t>{'source': 'https://scontent.xx.fbcdn.net/v/t31.0-8/q87/s851x315/26758738_176513436434280_8742835616777424130_o.jpg?oh=39ff987d2c83276992cf00f2e71d72d3&amp;oe=5B38E83B', 'offset_x': 0, 'id': '176513436434280', 'cover_id': '176513436434280', 'offset_y': 61}</t>
  </si>
  <si>
    <t>{'city': 'Paris', 'longitude': 2.32072, 'country': 'France', 'latitude': 48.85471}</t>
  </si>
  <si>
    <t>{'source': 'https://scontent.xx.fbcdn.net/v/t1.0-9/s720x720/1013032_423463214427955_347934649_n.png?oh=2d88ef24ac9d98bd11d367b7814bfea9&amp;oe=5B3D3A61', 'offset_x': 0, 'id': '423463214427955', 'cover_id': '423463214427955', 'offset_y': 0}</t>
  </si>
  <si>
    <t>{'source': 'https://scontent.xx.fbcdn.net/v/t31.0-8/s720x720/23592160_10156020317933478_5180881518412013812_o.jpg?oh=00a294903c2b0d255fe5948563a2b956&amp;oe=5B38BD85', 'offset_x': 0, 'id': '10156020317933478', 'cover_id': '10156020317933478', 'offset_y': 16}</t>
  </si>
  <si>
    <t>{'zip': '110001', 'longitude': 77.217195477436, 'country': 'India', 'street': 'South Block, Raisina Hill', 'latitude': 28.610473249863, 'city': 'New Delhi'}</t>
  </si>
  <si>
    <t>{'source': 'https://scontent.xx.fbcdn.net/v/t1.0-9/s720x720/29027068_1725711434117314_7726933125153947648_o.jpg?oh=8713b6968cc14e201d5048d48f8afc72&amp;oe=5B38B1D8', 'offset_x': 0, 'id': '1725711427450648', 'cover_id': '1725711427450648', 'offset_y': 59}</t>
  </si>
  <si>
    <t>{'zip': 'D2', 'longitude': -6.2532682582198, 'country': 'Ireland', 'street': 'Government Buildings, Upper Merrion Street', 'latitude': 53.338358868787, 'city': 'Dublin'}</t>
  </si>
  <si>
    <t>{'source': 'https://scontent.xx.fbcdn.net/v/t31.0-8/s720x720/28070546_1929972033711411_2916234383401848652_o.jpg?oh=1bcae9e44866b0c465d0be4ec7b62399&amp;oe=5B2D54A7', 'offset_x': 0, 'id': '1929972033711411', 'cover_id': '1929972033711411', 'offset_y': 18}</t>
  </si>
  <si>
    <t>{'source': 'https://scontent.xx.fbcdn.net/v/t31.0-0/q89/p240x240/26840578_712580275602729_6698940436463919518_o.jpg?_nc_cat=0&amp;oh=f6d5c16356dfeb19a9f3fb00a0c51354&amp;oe=5B4C6D27', 'offset_x': 94, 'id': '712580275602729', 'cover_id': '712580275602729', 'offset_y': 0}</t>
  </si>
  <si>
    <t>{'city': 'Kabul', 'longitude': 69.175814713803, 'country': 'Afghanistan', 'street': 'Malik Asghar Square', 'latitude': 34.524505535625}</t>
  </si>
  <si>
    <t>{'source': 'https://scontent.xx.fbcdn.net/v/t31.0-8/s720x720/1412700_990375371020443_4728691225430215088_o.jpg?oh=49fa9cb0bf3efc97372da28adc4ae46b&amp;oe=5B467697', 'offset_x': 50, 'id': '990375371020443', 'cover_id': '990375371020443', 'offset_y': 0}</t>
  </si>
  <si>
    <t>{'tue_1_open': '07:30', 'mon_1_close': '16:00', 'mon_1_open': '07:30', 'tue_1_close': '16:00', 'wed_1_open': '07:30', 'sat_1_close': '16:00', 'sun_1_open': '07:30', 'wed_1_close': '17:00', 'sat_1_open': '07:30', 'sun_1_close': '16:00'}</t>
  </si>
  <si>
    <t>{'zip': '0010', 'longitude': 44.509402513504, 'country': 'Armenia', 'street': 'Վազգեն Սարգսյան 3, Կառավարական տուն #2, Արտաքին գործերի նախարարություն', 'latitude': 40.17682398458, 'city': 'Yerevan'}</t>
  </si>
  <si>
    <t>{'source': 'https://scontent.xx.fbcdn.net/v/t31.0-8/s720x720/16991660_1731178156908373_8875234770928263273_o.jpg?oh=b697b68ed9ed6916b0f8705a00eb85cf&amp;oe=5B481642', 'offset_x': 0, 'id': '1731178156908373', 'cover_id': '1731178156908373', 'offset_y': 77}</t>
  </si>
  <si>
    <t>{'zip': '00100', 'longitude': 79.844157332584, 'country': 'Sri Lanka', 'street': 'Sir Baron Jayathilaka Mawatha, Republic Building, Fort', 'latitude': 6.9360449216854, 'city': 'Colombo'}</t>
  </si>
  <si>
    <t>{'source': 'https://scontent.xx.fbcdn.net/v/t31.0-8/s720x720/19055622_1378575755564694_3945709907391408871_o.jpg?oh=a5b45f49463568601ce24718b2671b96&amp;oe=5B31F5D8', 'offset_x': 56, 'id': '1378575755564694', 'cover_id': '1378575755564694', 'offset_y': 0}</t>
  </si>
  <si>
    <t>{'city': 'Khartoum', 'longitude': 13.2107896537, 'country': 'Sudan', 'street': 'aljamaa street', 'latitude': 32.8992709434}</t>
  </si>
  <si>
    <t>{'source': 'https://scontent.xx.fbcdn.net/v/t1.0-9/1004896_365054176953611_1924735864_n.jpg?oh=a61fec7577f73374a02c1c69f28c1b75&amp;oe=5B337267', 'offset_x': 0, 'id': '365054176953611', 'cover_id': '365054176953611', 'offset_y': 0}</t>
  </si>
  <si>
    <t>{'zip': '106 71', 'longitude': 23.73643, 'country': 'Greece', 'street': 'Βασ. Σοφίας 1, Αθήνα - Vas. Sofias 1', 'latitude': 37.97613, 'city': 'Athens'}</t>
  </si>
  <si>
    <t>{'source': 'https://scontent.xx.fbcdn.net/v/t1.0-9/s720x720/188914_596004030428378_968422100_n.jpg?oh=d04479a6830d691b24f8eb38510e3ad0&amp;oe=5B3453B9', 'offset_x': 0, 'id': '596004030428378', 'cover_id': '596004030428378', 'offset_y': 54}</t>
  </si>
  <si>
    <t>{'zip': '734001', 'longitude': 68.78, 'country': 'Tajikistan', 'street': 'ул. Шероз 33', 'latitude': 38.5367, 'city': 'Dushanbe'}</t>
  </si>
  <si>
    <t>{'source': 'https://scontent.xx.fbcdn.net/v/t31.0-8/s720x720/11999720_1697111997174348_8014619752181168430_o.jpg?oh=b3a01b0d0720de381df6fb618a2e5ab9&amp;oe=5B4B2EC5', 'offset_x': 0, 'id': '1697111997174348', 'cover_id': '1697111997174348', 'offset_y': 94}</t>
  </si>
  <si>
    <t>{'zip': 'AZ 1009', 'longitude': 49.833001606589, 'country': 'Azerbaijan', 'street': 'Şıxəli Qurbanov 50', 'latitude': 40.377180259254, 'city': 'Baku'}</t>
  </si>
  <si>
    <t>{'source': 'https://scontent.xx.fbcdn.net/v/t31.0-8/s720x720/1412356_853920981293097_4033772479444122286_o.jpg?oh=384664a7b435afd5e9604c395e5d2af6&amp;oe=5B2F4A2D', 'offset_x': 0, 'id': '853920981293097', 'cover_id': '853920981293097', 'offset_y': 28}</t>
  </si>
  <si>
    <t>{'zip': '1113', 'longitude': 23.354722994995, 'country': 'Bulgaria', 'street': 'Aleksandar Zhendov, 1113 Sofia, Bulgaria', 'latitude': 42.680318680812, 'city': 'Sofia'}</t>
  </si>
  <si>
    <t>{'source': 'https://scontent.xx.fbcdn.net/v/t1.0-9/28379058_1976836385678880_3477323850014441742_n.jpg?oh=9885a389765693686275eeb6625aa952&amp;oe=5B3EEDA8', 'offset_x': 0, 'id': '1976836385678880', 'cover_id': '1976836385678880', 'offset_y': 0}</t>
  </si>
  <si>
    <t>{'city': 'Cairo', 'longitude': 28.828125, 'country': 'Egypt', 'street': 'Corniche El-Nile, Maspiro', 'latitude': 30.145127183376}</t>
  </si>
  <si>
    <t>{'source': 'https://scontent.xx.fbcdn.net/v/t1.0-9/15073416_1249969028408374_471742211626493075_n.jpg?oh=4116addaf549bcf2ebdfa019dad2312a&amp;oe=5B2E75C0', 'offset_x': 0, 'id': '1249969028408374', 'cover_id': '1249969028408374', 'offset_y': 47}</t>
  </si>
  <si>
    <t>{'city': 'Cairo', 'longitude': 31.227746780026, 'country': 'Egypt', 'street': 'Corniche El-Nile, Maspiro', 'latitude': 30.057487425055}</t>
  </si>
  <si>
    <t>{'source': 'https://scontent.xx.fbcdn.net/v/t1.0-9/s720x720/11873447_1452681835059401_8368884932238662667_n.jpg?oh=99fafe12e366f6887726b430955752a3&amp;oe=5B4E0CD1', 'offset_x': 0, 'id': '1452681835059401', 'cover_id': '1452681835059401', 'offset_y': 0}</t>
  </si>
  <si>
    <t>{'zip': 'P.O. Box 393', 'longitude': 38.764681425148, 'country': 'Ethiopia', 'street': 'Menelik II Avenue', 'latitude': 9.0186478888186, 'city': 'Addis Ababa'}</t>
  </si>
  <si>
    <t>{'source': 'https://scontent.xx.fbcdn.net/v/t1.0-9/s720x720/27867359_2074908769203022_1082355406375510392_n.png?oh=0d519f79ee611ab5da5f96fb6cf5d603&amp;oe=5B4011D4', 'offset_x': 600, 'id': '2074908769203022', 'cover_id': '2074908769203022', 'offset_y': 0}</t>
  </si>
  <si>
    <t>{'fri_1_open': '08:30', 'tue_1_open': '08:30', 'mon_1_close': '17:30', 'mon_1_open': '08:30', 'tue_1_close': '17:30', 'wed_1_open': '08:30', 'thu_1_open': '08:30', 'wed_1_close': '17:30', 'fri_1_close': '17:30', 'thu_1_close': '17:30'}</t>
  </si>
  <si>
    <t>{'zip': '0118', 'longitude': 44.795036315918, 'country': 'Georgia', 'street': '4, Chitadze Str.', 'latitude': 41.694898292761, 'city': 'Tbilisi'}</t>
  </si>
  <si>
    <t>{'source': 'https://scontent.xx.fbcdn.net/v/t1.0-9/s720x720/16105861_10154048568685899_4848067914785288481_n.jpg?oh=c50b9745a4d622837ef40407b110a006&amp;oe=5B33A69B', 'offset_x': 0, 'id': '10154048568685899', 'cover_id': '10154048568685899', 'offset_y': 0}</t>
  </si>
  <si>
    <t>{'source': 'https://scontent.xx.fbcdn.net/v/t1.0-9/q84/s720x720/22728672_1985291258406213_8801054985899452501_n.jpg?oh=e53950bd17289bb4ecac9e407b34f998&amp;oe=5B471B7C', 'offset_x': 0, 'id': '1985291258406213', 'cover_id': '1985291258406213', 'offset_y': 0}</t>
  </si>
  <si>
    <t>[{'id': '1032965636792826', 'name': 'Government Building'}, {'id': '161422927240513', 'name': 'Government Organization'}, {'id': '147714868971098', 'name': 'Public &amp; Government Service'}]</t>
  </si>
  <si>
    <t>{'zip': '12301', 'longitude': 104.93710398674, 'country': 'Cambodia', 'street': '#3, Samdech HUN SEN Street, Tonlé Bassac, Chamkarmon', 'latitude': 11.554203045388, 'city': 'Phnom Penh'}</t>
  </si>
  <si>
    <t>{'source': 'https://scontent.xx.fbcdn.net/v/t1.0-9/s720x720/12032157_718514474945809_1786190604080530511_n.jpg?oh=6e8edd77e2605199950ecf91292e08de&amp;oe=5B3BB59B', 'offset_x': 0, 'id': '718514474945809', 'cover_id': '718514474945809', 'offset_y': 0}</t>
  </si>
  <si>
    <t>{'fri_1_open': '07:30', 'tue_1_open': '07:30', 'mon_1_close': '17:00', 'mon_1_open': '07:30', 'tue_1_close': '17:00', 'wed_1_open': '07:30', 'thu_1_open': '07:30', 'wed_1_close': '17:00', 'fri_1_close': '17:00', 'thu_1_close': '17:00'}</t>
  </si>
  <si>
    <t>{'zip': 'IS-105', 'longitude': -21.91385, 'country': 'Iceland', 'street': 'Raudararstigur 25', 'latitude': 64.14202, 'city': 'Reykjavík'}</t>
  </si>
  <si>
    <t>{'source': 'https://scontent.xx.fbcdn.net/v/t1.0-9/s720x720/28661463_2206007902743469_5046635999399616215_n.png?oh=e744f6738406d5949769e4d4f2e4c608&amp;oe=5B4218CB', 'offset_x': 0, 'id': '2206007902743469', 'cover_id': '2206007902743469', 'offset_y': 15}</t>
  </si>
  <si>
    <t>{'city': 'Pristina', 'longitude': 21.158441958187, 'country': 'Kosovo', 'street': 'MFA Building, Str: “Luan Haradinaj” p.n., 10000 Prishtina, Republic of Kosovo', 'latitude': 42.661015382037}</t>
  </si>
  <si>
    <t>{'source': 'https://scontent.xx.fbcdn.net/v/t31.0-8/s720x720/26685675_1746031998761312_6588932697011356181_o.jpg?oh=6017551b8525dcaeea5a6dc22b6219f8&amp;oe=5B02A12A', 'offset_x': 600, 'id': '1746031998761312', 'cover_id': '1746031998761312', 'offset_y': 0}</t>
  </si>
  <si>
    <t>{'zip': '1000', 'longitude': 21.437239050865, 'country': 'Macedonia', 'street': 'Blvd. "Filip Vtori Makedonski" 7', 'latitude': 41.995692644475, 'city': 'Skopje'}</t>
  </si>
  <si>
    <t>{'source': 'https://scontent.xx.fbcdn.net/v/t31.0-8/s720x720/18880067_10155433001909850_4461114134853238052_o.jpg?oh=5c49a88cbc7fb443421f4fcaf15f608b&amp;oe=5B3DDF6A', 'offset_x': 0, 'id': '10155433001909850', 'cover_id': '10155433001909850', 'offset_y': 35}</t>
  </si>
  <si>
    <t>{'city': 'Ulaanbaatar', 'longitude': 106.9202865973, 'country': 'Mongolia', 'street': 'Peace Avenue 7A, Sukhbaatar District', 'latitude': 47.916955640409}</t>
  </si>
  <si>
    <t>{'source': 'https://scontent.xx.fbcdn.net/v/t31.0-8/s720x720/1398131_126149020888911_747358608_o.jpg?oh=61341aa2719cbf87457a48b30f841796&amp;oe=5B3948D3', 'offset_x': 0, 'id': '126149020888911', 'cover_id': '126149020888911', 'offset_y': 51}</t>
  </si>
  <si>
    <t>{'source': 'https://scontent.xx.fbcdn.net/v/t31.0-8/s720x720/17240390_1264490933597960_8432924165810036051_o.jpg?oh=cbffd34bcb58002bc7a9ff326b65071b&amp;oe=5B443724', 'offset_x': 0, 'id': '1264490933597960', 'cover_id': '1264490933597960', 'offset_y': 0}</t>
  </si>
  <si>
    <t>{'city': 'Accra', 'zip': '233', 'country': 'Ghana'}</t>
  </si>
  <si>
    <t>{'source': 'https://scontent.xx.fbcdn.net/v/t31.0-8/s720x720/27625134_1554823464594457_2697941921475906299_o.jpg?oh=b0e706c44c8f54a3cfdcb4f72c416fee&amp;oe=5B3D5CEE', 'offset_x': 0, 'id': '1554823464594457', 'cover_id': '1554823464594457', 'offset_y': 0}</t>
  </si>
  <si>
    <t>{'zip': '1000', 'longitude': 14.49816, 'country': 'Slovenia', 'street': 'Prešernova cesta 25', 'latitude': 46.05151, 'city': 'Ljubljana'}</t>
  </si>
  <si>
    <t>{'source': 'https://scontent.xx.fbcdn.net/v/t31.0-0/p480x480/21414693_1633419900043601_5023548518360441682_o.jpg?oh=4884b069a033a04479344bf4b1049a83&amp;oe=5B313F70', 'offset_x': 0, 'id': '1633419900043601', 'cover_id': '1633419900043601', 'offset_y': 46}</t>
  </si>
  <si>
    <t>{'zip': '252', 'longitude': 45.367140769958, 'country': 'Somalia', 'street': 'Afgoye Road- KM 5 Junction- Wadajir District', 'latitude': 2.0644035148474, 'city': 'Mogadishu'}</t>
  </si>
  <si>
    <t>{'source': 'https://scontent.xx.fbcdn.net/v/t1.0-9/s720x720/10940433_1564020280510195_8366041542326505704_n.jpg?oh=ad76adc3c104f59099d199326db3a66b&amp;oe=5B040B41', 'offset_x': 0, 'id': '1564020280510195', 'cover_id': '1564020280510195', 'offset_y': 94}</t>
  </si>
  <si>
    <t>{'tue_1_open': '08:00', 'sun_1_open': '08:00', 'wed_1_open': '08:00', 'thu_1_close': '13:30', 'sat_1_close': '16:30', 'sun_1_close': '16:30', 'mon_1_open': '08:00', 'tue_1_close': '16:30', 'mon_1_close': '16:30', 'thu_1_open': '08:00', 'wed_1_close': '16:30', 'sat_1_open': '08:00'}</t>
  </si>
  <si>
    <t>Ministry of Foreign Affairs, Uzbekistan</t>
  </si>
  <si>
    <t>http://mfa.uz</t>
  </si>
  <si>
    <t xml:space="preserve">Добро пожаловать на официальную страницу Министерства иностранных дел Республики Узбекистан в Facebook! </t>
  </si>
  <si>
    <t>https://www.facebook.com/MFAUZB/</t>
  </si>
  <si>
    <t>{'zip': '100029', 'longitude': 69.270236492157, 'country': 'Uzbekistan', 'street': 'Узбекистан 100029, Ташкент, ул.Ислама Каримова, 9', 'latitude': 41.308535126809, 'city': 'Tashkent'}</t>
  </si>
  <si>
    <t>{'source': 'https://scontent.xx.fbcdn.net/v/t1.0-9/10522514_280401788812054_7126870550676901509_n.jpg?oh=bf1651fd0ba3d7627cbbc32b94ba4e21&amp;oe=5B3E9636', 'offset_x': 0, 'id': '280401788812054', 'cover_id': '280401788812054', 'offset_y': 71}</t>
  </si>
  <si>
    <t xml:space="preserve">Информация по актуальным вопросам внешней политики Республики Узбекистан и международных отношений.
</t>
  </si>
  <si>
    <t>Министерство иностранных дел Республики Узбекистан — орган государственного управления, входящий в систему Кабинета министров Республики Узбекистан и осуществляющий, исходя из принципов определенных Конституцией Республики Узбекистан, а так же международно-правовыми нормами, реализацию внешней политики Республики Узбекистан.
Министерство осуществляет свою деятельность под непосредственным руководством Президента Республики Узбекистан.
Основными задачами Министерства являются претворение в жизнь принципа государственного суверенитета и практическая реализация внешнеполитического курса Республики Узбекистан, защита государственных интересов и прав граждан Узбекистана в отношениях с зарубежными странами, а также в международных и региональных организациях.</t>
  </si>
  <si>
    <t>+998 71 232 05 41</t>
  </si>
  <si>
    <t>mfa.uz</t>
  </si>
  <si>
    <t>Узбекистан 100029, Ташкент, ул.Ислама Каримова, 9, 100029 Tashkent, Uzbekistan</t>
  </si>
  <si>
    <t>{'city': 'Port of Spain', 'longitude': -61.515964823356, 'country': 'Trinidad and Tobago', 'street': '# Levels 10 -14, Tower C, Waterfront Complex # 1A Wrightson Road', 'latitude': 10.650471723357}</t>
  </si>
  <si>
    <t>{'source': 'https://scontent.xx.fbcdn.net/v/t1.0-9/12218_804563549565836_6309016775739719863_n.jpg?oh=ae1fb6e60583fcee2b426398d9334147&amp;oe=5B353B69', 'offset_x': 0, 'id': '804563549565836', 'cover_id': '804563549565836', 'offset_y': 30}</t>
  </si>
  <si>
    <t>www.cancilleria.gob.ec</t>
  </si>
  <si>
    <t>{'source': 'https://scontent.xx.fbcdn.net/v/t1.0-9/s720x720/26907564_1446027268856838_836575613884170370_n.jpg?oh=ec0a20e29a302aa522fbeaf4bb726505&amp;oe=5B2D09DE', 'offset_x': 0, 'id': '1446027268856838', 'cover_id': '1446027268856838', 'offset_y': 0}</t>
  </si>
  <si>
    <t>{'longitude': 56.953125, 'latitude': 21.28937435586}</t>
  </si>
  <si>
    <t>{'source': 'https://scontent.xx.fbcdn.net/v/t31.0-8/s720x720/26962166_1842581205812604_6466656359444488062_o.jpg?oh=9acba8af743b4d7a4e7ddc570381b590&amp;oe=5B3E48BD', 'offset_x': 0, 'id': '1842581205812604', 'cover_id': '1842581205812604', 'offset_y': 0}</t>
  </si>
  <si>
    <t>{'city': 'Brasília', 'state': 'DF', 'country': 'Brazil'}</t>
  </si>
  <si>
    <t>{'source': 'https://scontent.xx.fbcdn.net/v/t1.0-9/s720x720/21192351_1566038043457472_6001646200961978222_n.jpg?oh=db63dda494a1e7dc315c0baffab0f05f&amp;oe=5B3E8DEF', 'offset_x': 0, 'id': '1566038043457472', 'cover_id': '1566038043457472', 'offset_y': 0}</t>
  </si>
  <si>
    <t>{'zip': '119200', 'longitude': 37.58432, 'country': 'Russia', 'street': 'Москва,  Смоленская-Сенная пл., 32/34', 'latitude': 55.74607, 'city': 'Moscow'}</t>
  </si>
  <si>
    <t>{'source': 'https://scontent.xx.fbcdn.net/v/t31.0-8/s720x720/28238192_1260141374085301_5580695487298405388_o.jpg?oh=680cd9ead833cdf60fa2a8744642f034&amp;oe=5B33EDB4', 'offset_x': 50, 'id': '1260141374085301', 'cover_id': '1260141374085301', 'offset_y': 0}</t>
  </si>
  <si>
    <t>{'source': 'https://scontent.xx.fbcdn.net/v/t1.0-9/s720x720/10351674_10152175351806828_3001590263969647620_n.png?oh=cf1f4f5eaa8126f6d88ccb5a994eb1da&amp;oe=5B3E6869', 'offset_x': 0, 'id': '10152175351806828', 'cover_id': '10152175351806828', 'offset_y': 0}</t>
  </si>
  <si>
    <t>{'zip': '01010', 'longitude': -90.51271, 'country': 'Guatemala', 'street': '2 avenida 4-17, zona 10', 'latitude': 14.60958, 'city': 'Guatemala City'}</t>
  </si>
  <si>
    <t>{'source': 'https://scontent.xx.fbcdn.net/v/t31.0-8/q90/s720x720/28238620_791789524362452_3120563796769581204_o.jpg?oh=b0129ee1be713b652deb8cf6125d855b&amp;oe=5AFFCC79', 'offset_x': 0, 'id': '791789524362452', 'cover_id': '791789524362452', 'offset_y': 0}</t>
  </si>
  <si>
    <t>{'fri_1_open': '09:00', 'tue_1_open': '09:00', 'mon_1_close': '17:30', 'mon_1_open': '09:00', 'tue_1_close': '17:30', 'wed_1_open': '09:00', 'thu_1_open': '09:00', 'wed_1_close': '17:30', 'fri_1_close': '17:30', 'thu_1_close': '17:30'}</t>
  </si>
  <si>
    <t>{'longitude': -61.875, 'latitude': -17.30868788677}</t>
  </si>
  <si>
    <t>{'source': 'https://scontent.xx.fbcdn.net/v/t1.0-9/s720x720/29187161_1633686590018143_5026758770378670080_n.jpg?oh=e27d8dc51837f444c1f490ed80a9c5f4&amp;oe=5B4A4F9C', 'offset_x': 0, 'id': '1633686583351477', 'cover_id': '1633686583351477', 'offset_y': 0}</t>
  </si>
  <si>
    <t>{'zip': '10000', 'longitude': 15.9793, 'country': 'Croatia', 'street': 'Trg Nikole Šubića Zrinskog 7 -8', 'latitude': 45.8102, 'city': 'Zagreb'}</t>
  </si>
  <si>
    <t>{'source': 'https://scontent.xx.fbcdn.net/v/t1.0-9/s720x720/10553370_933660846649929_509238789767455020_n.png?oh=5c3368dc2ebb190a723e799624624c41&amp;oe=5AFFB0E0', 'offset_x': 0, 'id': '933660846649929', 'cover_id': '933660846649929', 'offset_y': 0}</t>
  </si>
  <si>
    <t>{'city': 'Conakry', 'zip': 'BP : 2519', 'country': 'Guinea', 'street': 'Kaloum Port autonome de Conakry'}</t>
  </si>
  <si>
    <t>{'source': 'https://scontent.xx.fbcdn.net/v/t1.0-9/s720x720/1910557_1157207630980070_4764120087692265522_n.png?oh=4c84aaf8a0751051196a40d3d61cefc2&amp;oe=5B2E5B75', 'offset_x': 600, 'id': '1157207630980070', 'cover_id': '1157207630980070', 'offset_y': 0}</t>
  </si>
  <si>
    <t>{'zip': '2515XP', 'longitude': 4.3244934082031, 'country': 'Netherlands', 'street': 'Rijnstraat 8', 'latitude': 52.079980739965, 'city': 'The Hague'}</t>
  </si>
  <si>
    <t>{'source': 'https://scontent.xx.fbcdn.net/v/t31.0-8/s720x720/21457763_1825325937778071_4770593229176248014_o.jpg?oh=13623bcb00dd41ab3458958dc7c64b9e&amp;oe=5B053B57', 'offset_x': 0, 'id': '1825325937778071', 'cover_id': '1825325937778071', 'offset_y': 83}</t>
  </si>
  <si>
    <t>{'fri_1_open': '07:00', 'tue_1_open': '07:00', 'mon_1_close': '19:00', 'mon_1_open': '07:00', 'tue_1_close': '19:00', 'wed_1_open': '07:00', 'thu_1_open': '07:00', 'wed_1_close': '19:00', 'fri_1_close': '19:00', 'thu_1_close': '19:00'}</t>
  </si>
  <si>
    <t>{'city': 'Antiguo Cuscatlán', 'longitude': -89.25512, 'country': 'El Salvador', 'street': 'Calle El Pedregal, Blvd. Cancillería. Ciudad Merliot, Antiguo Cuscatlán, El Salvador. C.A.', 'latitude': 13.67943}</t>
  </si>
  <si>
    <t>{'source': 'https://scontent.xx.fbcdn.net/v/t31.0-8/s720x720/28336549_1879212872097133_7515289824547851356_o.jpg?oh=5211bf570da04c956f614fc0ccb169ea&amp;oe=5B3EC9AC', 'offset_x': 0, 'id': '1879212872097133', 'cover_id': '1879212872097133', 'offset_y': 32}</t>
  </si>
  <si>
    <t>{'source': 'https://scontent.xx.fbcdn.net/v/t31.0-8/s720x720/28514676_1746573538737684_1593250187959750580_o.jpg?oh=cf94c98b6684e64c1c9eb143d716e0ef&amp;oe=5B47DD5C', 'offset_x': 0, 'id': '1746573538737684', 'cover_id': '1746573538737684', 'offset_y': 41}</t>
  </si>
  <si>
    <t>Work Position</t>
  </si>
  <si>
    <t>[{'id': '2611', 'name': 'Work Position'}, {'id': '161422927240513', 'name': 'Government Organization'}, {'id': '147714868971098', 'name': 'Public &amp; Government Service'}]</t>
  </si>
  <si>
    <t>{'city': 'Belmopan', 'longitude': -88.7667, 'country': 'Belize', 'latitude': 17.25}</t>
  </si>
  <si>
    <t>{'source': 'https://scontent.xx.fbcdn.net/v/t1.0-9/16174908_1217327045025542_7654031529090173460_n.jpg?oh=59cea20d46bb38d28b234d207d0ec113&amp;oe=5B42CD41', 'offset_x': 0, 'id': '1217327045025542', 'cover_id': '1217327045025542', 'offset_y': 47}</t>
  </si>
  <si>
    <t>{'source': 'https://scontent.xx.fbcdn.net/v/t31.0-8/s720x720/18814899_1581593011873179_3850730235011857163_o.jpg?oh=d8b1db471b719601fc239a40e8735631&amp;oe=5B30BB5C', 'offset_x': 0, 'id': '1581593011873179', 'cover_id': '1581593011873179', 'offset_y': 42}</t>
  </si>
  <si>
    <t>{'fri_1_open': '07:30', 'tue_1_open': '07:30', 'mon_1_close': '16:30', 'mon_1_open': '07:30', 'tue_1_close': '16:30', 'wed_1_open': '07:30', 'thu_1_open': '07:30', 'wed_1_close': '16:30', 'fri_1_close': '16:30', 'thu_1_close': '16:30'}</t>
  </si>
  <si>
    <t>{'source': 'https://scontent.xx.fbcdn.net/v/t1.0-9/s720x720/185072_435052809880030_2101092126_n.jpg?oh=2f58aa0409af5c49a46e67d0f6207f11&amp;oe=5B4A1629', 'offset_x': 0, 'id': '435052809880030', 'cover_id': '435052809880030', 'offset_y': 0}</t>
  </si>
  <si>
    <t>{'source': 'https://scontent.xx.fbcdn.net/v/t1.0-9/11742801_1010915038949419_8686923888939635259_n.jpg?oh=0a80adb4f4655f155b9e05045867ca1d&amp;oe=5B2D8615', 'offset_x': 0, 'id': '1010915038949419', 'cover_id': '1010915038949419', 'offset_y': 100}</t>
  </si>
  <si>
    <t>{'tue_1_open': '07:45', 'mon_1_close': '16:15', 'mon_1_open': '07:45', 'tue_1_close': '16:15', 'wed_1_open': '07:45', 'sat_1_close': '16:15', 'sun_1_open': '07:45', 'wed_1_close': '16:15', 'sat_1_open': '07:45', 'sun_1_close': '16:15'}</t>
  </si>
  <si>
    <t>{'source': 'https://scontent.xx.fbcdn.net/v/t31.0-8/s720x720/1025324_597767226910171_931239139_o.jpg?oh=8db8ddf2cdf3a9aa7096f9d73cd01357&amp;oe=5B3163BF', 'offset_x': 0, 'id': '597767226910171', 'cover_id': '597767226910171', 'offset_y': 35}</t>
  </si>
  <si>
    <t>{'source': 'https://scontent.xx.fbcdn.net/v/t1.0-9/10308717_753542518051830_7219174329854101408_n.jpg?oh=d359ac8df9bdbd64858f87c524cb7522&amp;oe=5B409026', 'offset_x': 0, 'id': '753542518051830', 'cover_id': '753542518051830', 'offset_y': 95}</t>
  </si>
  <si>
    <t>{'city': 'Ciudad La Paz', 'longitude': -68.13654, 'country': 'Bolivia', 'latitude': -16.49902}</t>
  </si>
  <si>
    <t>{'source': 'https://scontent.xx.fbcdn.net/v/t1.0-9/s720x720/27067679_548372042206295_8097885461224860189_n.jpg?oh=3c58f7f41aeb002cccf20bfde9a331c9&amp;oe=5B44E466', 'offset_x': 0, 'id': '548372042206295', 'cover_id': '548372042206295', 'offset_y': 0}</t>
  </si>
  <si>
    <t>MinrelChile</t>
  </si>
  <si>
    <t>http://www.minrel.gob.cl/</t>
  </si>
  <si>
    <t>Ministerio de Relaciones Exteriores de Chile
Teatinos 180, Santiago, Chile</t>
  </si>
  <si>
    <t>https://www.facebook.com/MinrelChile/</t>
  </si>
  <si>
    <t>{'city': 'Santiago', 'longitude': -70.655015, 'country': 'Chile', 'latitude': -33.4414771}</t>
  </si>
  <si>
    <t>{'source': 'https://scontent.xx.fbcdn.net/v/t1.0-9/s720x720/29133525_406517549773117_6757707485778173644_n.jpg?oh=e1fbee0778066546707d417cef19b9bb&amp;oe=5B0448EF', 'offset_x': 0, 'id': '406517549773117', 'cover_id': '406517549773117', 'offset_y': 0}</t>
  </si>
  <si>
    <t>Ministerio de Relaciones Exteriores de Chile</t>
  </si>
  <si>
    <t>{'zip': '28020', 'longitude': -69.91915881869, 'country': 'Dominican Republic', 'street': 'Avenida Independencia No.752, Estancia San Gerónimo, Zona Universitaria', 'latitude': 18.454312232243, 'city': 'Santo Domingo'}</t>
  </si>
  <si>
    <t>{'source': 'https://scontent.xx.fbcdn.net/v/t1.0-9/s720x720/15439928_1284969064898195_6250269876467448063_n.png?oh=bbdf2a0c4ba5613200a1233683e7895a&amp;oe=5B37BF98', 'offset_x': 600, 'id': '1284969064898195', 'cover_id': '1284969064898195', 'offset_y': 0}</t>
  </si>
  <si>
    <t>{'source': 'https://scontent.xx.fbcdn.net/v/t31.0-8/s720x720/27356072_2059559894276367_9206318123930684664_o.jpg?oh=ff6f5d1ed151895d9b96246ab70a00b0&amp;oe=5B48EDB4', 'offset_x': 0, 'id': '2059559894276367', 'cover_id': '2059559894276367', 'offset_y': 47}</t>
  </si>
  <si>
    <t>{'longitude': 69.345703125, 'latitude': 41.376808565702}</t>
  </si>
  <si>
    <t>{'source': 'https://scontent.xx.fbcdn.net/v/t1.0-9/s720x720/24991127_927783870719068_8804598653448207835_n.png?oh=11d89ee4ebc45d9929702ece9bf08e29&amp;oe=5AFFEFA2', 'offset_x': 800, 'id': '927783870719068', 'cover_id': '927783870719068', 'offset_y': 0}</t>
  </si>
  <si>
    <t>{'zip': '1399-030', 'longitude': -9.1706013679504, 'country': 'Portugal', 'street': 'Palácio das Necessidades, Largo do Rilvas', 'latitude': 38.706510690845, 'city': 'Lisbon'}</t>
  </si>
  <si>
    <t>{'source': 'https://scontent.xx.fbcdn.net/v/t31.0-8/s720x720/26171694_142593113127196_4263663037078290672_o.jpg?oh=86e59a9f1169d28cf672e5f438384c40&amp;oe=5B4419C4', 'offset_x': 0, 'id': '142593113127196', 'cover_id': '142593113127196', 'offset_y': 47}</t>
  </si>
  <si>
    <t>{'city': 'Tripoli', 'zip': '00218', 'country': 'Libya', 'street': 'طريق الشط - طرابلس - ليبيا'}</t>
  </si>
  <si>
    <t>{'source': 'https://scontent.xx.fbcdn.net/v/t1.0-9/s720x720/1391431_748422741890652_3521323355465193338_n.jpg?oh=517927dce345cfd8b747e2287a3cd697&amp;oe=5B31A0A8', 'offset_x': 0, 'id': '748422741890652', 'cover_id': '748422741890652', 'offset_y': 47}</t>
  </si>
  <si>
    <t>{'tue_1_open': '08:00', 'mon_1_close': '16:00', 'mon_1_open': '08:00', 'tue_1_close': '16:00', 'wed_1_open': '08:00', 'thu_1_open': '08:00', 'sun_1_open': '08:00', 'wed_1_close': '16:00', 'sun_1_close': '16:00', 'thu_1_close': '16:00'}</t>
  </si>
  <si>
    <t>{'source': 'https://scontent.xx.fbcdn.net/v/t1.0-9/s720x720/13557663_1782782331953815_7656992038185116538_n.jpg?oh=dd65338ff02563e3d988d91a8d3d7337&amp;oe=5B3AEC23', 'offset_x': 0, 'id': '1782782331953815', 'cover_id': '1782782331953815', 'offset_y': 35}</t>
  </si>
  <si>
    <t>{'source': 'https://scontent.xx.fbcdn.net/v/t1.0-9/26165728_1799381636800473_4535411294292259657_n.jpg?oh=e5d691bcbdcffe2e615ba725e10fa122&amp;oe=5B44221D', 'offset_x': 0, 'id': '1799381636800473', 'cover_id': '1799381636800473', 'offset_y': 0}</t>
  </si>
  <si>
    <t>{'source': 'https://scontent.xx.fbcdn.net/v/t1.0-9/26047367_1819771321407293_8575967001590051029_n.jpg?oh=1bfe775f435c8971a979d3de39213ec9&amp;oe=5B009A0C', 'offset_x': 0, 'id': '1819771321407293', 'cover_id': '1819771321407293', 'offset_y': 0}</t>
  </si>
  <si>
    <t>{'source': 'https://scontent.xx.fbcdn.net/v/t31.0-8/s720x720/921286_254622998021283_1801299735_o.jpg?oh=148d82201e54771c67e0903fc9cacc94&amp;oe=5B2F2B94', 'offset_x': 0, 'id': '254622998021283', 'cover_id': '254622998021283', 'offset_y': 0}</t>
  </si>
  <si>
    <t>{'zip': '1336', 'longitude': 35.189494069992, 'country': 'Palestine', 'street': 'رام الله-خلف قصر الثقافة-شارع الايام', 'latitude': 31.892773214277, 'city': 'Ramallah'}</t>
  </si>
  <si>
    <t>{'source': 'https://scontent.xx.fbcdn.net/v/t31.0-8/s720x720/20286994_1538244222885374_4198206957151396323_o.jpg?oh=dba5c2d5ebf06f07b6a7ef1bde7cece9&amp;oe=5B47A05C', 'offset_x': 0, 'id': '1538244222885374', 'cover_id': '1538244222885374', 'offset_y': 0}</t>
  </si>
  <si>
    <t>{'tue_1_open': '08:00', 'mon_1_close': '15:00', 'mon_1_open': '08:00', 'tue_1_close': '15:00', 'wed_1_open': '08:00', 'thu_1_open': '08:00', 'sun_1_open': '08:00', 'wed_1_close': '15:00', 'sun_1_close': '15:00', 'thu_1_close': '15:00'}</t>
  </si>
  <si>
    <t>{'zip': '7048, Kampala', 'longitude': 32.584818192143, 'country': 'Uganda', 'street': '2A/B Apollo Kaggwa Road', 'latitude': 0.3153222022771, 'city': 'Kampala'}</t>
  </si>
  <si>
    <t>{'source': 'https://scontent.xx.fbcdn.net/v/t1.0-9/s720x720/29103490_1838139532872366_3078308893332340736_o.jpg?oh=a4111ff8efc2e8463860f42d1020af19&amp;oe=5B3E7F87', 'offset_x': 0, 'id': '1838139529539033', 'cover_id': '1838139529539033', 'offset_y': 2}</t>
  </si>
  <si>
    <t>{'zip': '1000', 'longitude': 90.405819099976, 'country': 'Bangladesh', 'street': 'Ministry of Foreign Affairs, Segunbagicha', 'latitude': 23.730656085278, 'city': 'Dhaka'}</t>
  </si>
  <si>
    <t>{'source': 'https://scontent.xx.fbcdn.net/v/t1.0-9/11061236_394344297438847_1657502364131762450_n.jpg?oh=f0589b9227ad2220e17409012cff5b74&amp;oe=5B376639', 'offset_x': 0, 'id': '394344297438847', 'cover_id': '394344297438847', 'offset_y': 59}</t>
  </si>
  <si>
    <t>{'city': 'Maseru', 'zip': '100', 'longitude': 27.48, 'country': 'Lesotho', 'latitude': -29.31}</t>
  </si>
  <si>
    <t>{'source': 'https://scontent.xx.fbcdn.net/v/t1.0-9/1526371_245777878923324_133340210_n.jpg?oh=43c61cce0eff89fbda4e771c678d38de&amp;oe=5B0434BA', 'offset_x': 0, 'id': '245777878923324', 'cover_id': '245777878923324', 'offset_y': 0}</t>
  </si>
  <si>
    <t>{'zip': '44000', 'longitude': 73.30617695, 'country': 'Pakistan', 'street': 'Constitution Avenue,  G-5, Islamabad.', 'latitude': 33.24995544, 'city': 'Islamabad'}</t>
  </si>
  <si>
    <t>{'source': 'https://scontent.xx.fbcdn.net/v/t31.0-8/s720x720/12045590_1670678996547074_7007979471350192363_o.jpg?oh=5df33524e3bb84b86198324093bce289&amp;oe=5B38FE3B', 'offset_x': 33, 'id': '1670678996547074', 'cover_id': '1670678996547074', 'offset_y': 0}</t>
  </si>
  <si>
    <t>{'zip': '110-787', 'longitude': 126.97584916571, 'country': 'South Korea', 'street': 'Ministry of Foreign Affairs, 60, Sajik-ro 8-gil, Jongno-gu, Seoul, Republic of Korea', 'latitude': 37.569552502858, 'city': 'Seoul'}</t>
  </si>
  <si>
    <t>{'source': 'https://scontent.xx.fbcdn.net/v/t1.0-9/s720x720/26904602_2056510731032243_2352109302549891692_n.jpg?oh=1505bfee83c533b71f7ad75d02359b1d&amp;oe=5B3A9B65', 'offset_x': 0, 'id': '2056510731032243', 'cover_id': '2056510731032243', 'offset_y': 17}</t>
  </si>
  <si>
    <t>{'city': 'Seoul', 'zip': '110-787', 'country': 'South Korea', 'street': '종로구 사직로 8길 60'}</t>
  </si>
  <si>
    <t>{'source': 'https://scontent.xx.fbcdn.net/v/t1.0-9/s720x720/21728124_1631300603597324_2199188602367879893_n.png?oh=97001c7116497c4d4ff65970ae4198fe&amp;oe=5B4C372A', 'offset_x': 0, 'id': '1631300603597324', 'cover_id': '1631300603597324', 'offset_y': 0}</t>
  </si>
  <si>
    <t>{'zip': '13001', 'longitude': 47.976486826706, 'country': 'Kuwait', 'street': 'Arabian Gulf Street', 'latitude': 29.382957286517, 'city': 'Kuwait'}</t>
  </si>
  <si>
    <t>{'source': 'https://scontent.xx.fbcdn.net/v/t1.0-9/s720x720/10174795_692009934191785_5738762723958489423_n.png?oh=6d83237c6d36a7a53075358f8dfeb0a6&amp;oe=5B42764D', 'offset_x': 0, 'id': '692009934191785', 'cover_id': '692009934191785', 'offset_y': 50}</t>
  </si>
  <si>
    <t>{'source': 'https://scontent.xx.fbcdn.net/v/t31.0-8/s720x720/26172042_804717763061854_2480486906050469633_o.jpg?oh=712eba4bbce41d2b0bc1ee8e40e36f75&amp;oe=5B476775', 'offset_x': 0, 'id': '804717763061854', 'cover_id': '804717763061854', 'offset_y': 0}</t>
  </si>
  <si>
    <t>{'zip': '44600', 'longitude': 85.3220596, 'country': 'Nepal', 'street': 'Singha Durbar', 'latitude': 27.6999302, 'city': 'Kathmandu'}</t>
  </si>
  <si>
    <t>{'source': 'https://scontent.xx.fbcdn.net/v/t31.0-8/s720x720/13738227_807012636066161_3911323440429091833_o.jpg?oh=fe5566823c54134cfb0e1d08464d1875&amp;oe=5B3DF27A', 'offset_x': 0, 'id': '807012636066161', 'cover_id': '807012636066161', 'offset_y': 69}</t>
  </si>
  <si>
    <t>{'tue_1_open': '10:00', 'sun_1_open': '10:00', 'wed_1_open': '10:00', 'fri_1_open': '10:00', 'fri_1_close': '15:00', 'thu_1_close': '17:00', 'sun_1_close': '17:00', 'mon_1_open': '10:00', 'tue_1_close': '17:00', 'mon_1_close': '17:00', 'thu_1_open': '10:00', 'wed_1_close': '17:00'}</t>
  </si>
  <si>
    <t>{'zip': '10110', 'longitude': 106.8333694, 'country': 'Indonesia', 'street': 'Taman Pejambon no.6', 'latitude': -6.17408713, 'city': 'Jakarta'}</t>
  </si>
  <si>
    <t>{'source': 'https://scontent.xx.fbcdn.net/v/t1.0-9/15940386_1373972839302942_5243418323949643651_n.jpg?oh=defa62e9877c4a5740e5f5e97fc349bb&amp;oe=5B32AF4D', 'offset_x': 0, 'id': '1373972839302942', 'cover_id': '1373972839302942', 'offset_y': 46}</t>
  </si>
  <si>
    <t>{'fri_1_open': '08:00', 'tue_1_open': '08:00', 'mon_1_close': '04:00', 'mon_1_open': '08:00', 'tue_1_close': '04:00', 'wed_1_open': '08:00', 'thu_1_open': '08:00', 'wed_1_close': '04:00', 'fri_1_close': '04:15', 'thu_1_close': '04:00'}</t>
  </si>
  <si>
    <t>{'city': 'Islamabad', 'zip': '44000', 'longitude': 73.095975512695, 'country': 'Pakistan', 'latitude': 33.709782228714}</t>
  </si>
  <si>
    <t>{'source': 'https://scontent.xx.fbcdn.net/v/t1.0-9/10270493_604095756353465_1597453664447490848_n.jpg?oh=13829e28b223d82d190668f6993ca570&amp;oe=5B391F7C', 'offset_x': 0, 'id': '604095756353465', 'cover_id': '604095756353465', 'offset_y': 100}</t>
  </si>
  <si>
    <t>{'source': 'https://scontent.xx.fbcdn.net/v/t1.0-9/s720x720/13615448_823447541090195_6462414673357379372_n.png?oh=dc2c1282f17dc649a7daac03f7b81410&amp;oe=5B31ABCE', 'offset_x': 0, 'id': '823447541090195', 'cover_id': '823447541090195', 'offset_y': 0}</t>
  </si>
  <si>
    <t>{'source': 'https://scontent.xx.fbcdn.net/v/t31.0-8/s720x720/27797401_1352482714858077_3422967197721140557_o.jpg?oh=de778cfe9a123a96f6452aefba245b8c&amp;oe=5B027F74', 'offset_x': 40, 'id': '1352482714858077', 'cover_id': '1352482714858077', 'offset_y': 0}</t>
  </si>
  <si>
    <t>{'city': 'Georgetown', 'longitude': -58.150548934937, 'country': 'Guyana', 'street': 'New Garden Street', 'latitude': 6.8089368954127}</t>
  </si>
  <si>
    <t>{'source': 'https://scontent.xx.fbcdn.net/v/t31.0-8/s720x720/16112897_1319644618095996_4558893873186883963_o.png?oh=83b51b8bb304d3d62312dc4abd7aefe9&amp;oe=5B2EF5DB', 'offset_x': 1200, 'id': '1319644618095996', 'cover_id': '1319644618095996', 'offset_y': 0}</t>
  </si>
  <si>
    <t>{'source': 'https://scontent.xx.fbcdn.net/v/t31.0-8/s720x720/21125531_1465979083470935_6992531880264846984_o.jpg?oh=b902dbbb1ad0d6eeab326cde6d0edb68&amp;oe=5B4A0E7A', 'offset_x': 0, 'id': '1465979083470935', 'cover_id': '1465979083470935', 'offset_y': 46}</t>
  </si>
  <si>
    <t>{'zip': '2239', 'longitude': -57.636766638127, 'country': 'Paraguay', 'street': 'Palma Esq./ 14 de mayo', 'latitude': -25.281349205824, 'city': 'Asunción'}</t>
  </si>
  <si>
    <t>{'source': 'https://scontent.xx.fbcdn.net/v/t1.0-9/s720x720/18221942_1458323144198516_2121274870686366230_n.jpg?oh=955c5a2c27f7e9c268b314ae523f0bff&amp;oe=5B4CE14B', 'offset_x': 0, 'id': '1458323144198516', 'cover_id': '1458323144198516', 'offset_y': 0}</t>
  </si>
  <si>
    <t>{'fri_1_open': '07:00', 'tue_1_open': '07:00', 'mon_1_close': '15:00', 'mon_1_open': '07:00', 'tue_1_close': '15:00', 'wed_1_open': '07:00', 'thu_1_open': '07:00', 'wed_1_close': '15:00', 'fri_1_close': '15:00', 'thu_1_close': '15:00'}</t>
  </si>
  <si>
    <t>{'source': 'https://scontent.xx.fbcdn.net/v/t31.0-0/p480x480/22384428_2027309474215909_3944227551117772558_o.jpg?oh=3ac60cd28f5de6bb638e3c2d376df1d4&amp;oe=5B300552', 'offset_x': 0, 'id': '2027309474215909', 'cover_id': '2027309474215909', 'offset_y': 45}</t>
  </si>
  <si>
    <t>{'source': 'https://scontent.xx.fbcdn.net/v/t1.0-9/s720x720/14370010_1095370687177333_3046269537673887909_n.png?oh=b06101ba358857f66b37f0d120af685e&amp;oe=5B3664DE', 'offset_x': 0, 'id': '1095370687177333', 'cover_id': '1095370687177333', 'offset_y': 20}</t>
  </si>
  <si>
    <t>{'fri_1_open': '09:00', 'tue_1_open': '09:00', 'mon_1_close': '16:30', 'mon_1_open': '09:00', 'tue_1_close': '16:30', 'wed_1_open': '09:00', 'thu_1_open': '09:00', 'wed_1_close': '16:30', 'fri_1_close': '16:30', 'thu_1_close': '16:30'}</t>
  </si>
  <si>
    <t>{'source': 'https://scontent.xx.fbcdn.net/v/t1.0-9/s720x720/26169955_1944934798868397_5994425812474739352_n.jpg?oh=ecf530c5e87d5646216b8c5b64d6955e&amp;oe=5B493160', 'offset_x': 0, 'id': '1944934798868397', 'cover_id': '1944934798868397', 'offset_y': 0}</t>
  </si>
  <si>
    <t>{'zip': '833 36', 'longitude': 17.105033159149, 'country': 'Slovakia', 'street': 'Hlboká cesta 2', 'latitude': 48.155692452828, 'city': 'Bratislava'}</t>
  </si>
  <si>
    <t>{'source': 'https://scontent.xx.fbcdn.net/v/t31.0-8/s720x720/19800935_1451493578227225_69565450314000641_o.jpg?oh=bb9ce6a967ad5386dd8be2fa2d076b8e&amp;oe=5B3CA9FF', 'offset_x': 0, 'id': '1451493578227225', 'cover_id': '1451493578227225', 'offset_y': 47}</t>
  </si>
  <si>
    <t>{'zip': '118 00', 'longitude': 14.390459060669, 'country': 'Czech Republic', 'street': 'Loretánské náměstí 5', 'latitude': 50.088841399394, 'city': 'Prague'}</t>
  </si>
  <si>
    <t>{'source': 'https://scontent.xx.fbcdn.net/v/t31.0-8/s720x720/27024050_1673064432757498_4089824345714058243_o.jpg?oh=1aa37b1f18ca541a5cc235a17322dfc3&amp;oe=5B3F2E12', 'offset_x': 0, 'id': '1673064432757498', 'cover_id': '1673064432757498', 'offset_y': 0}</t>
  </si>
  <si>
    <t>{'source': 'https://scontent.xx.fbcdn.net/v/t31.0-8/s720x720/28424792_10155179633585952_6701834363499499062_o.jpg?oh=e17b4affcb97dbc44f2c75b1a412e481&amp;oe=5B4B8FB0', 'offset_x': 600, 'id': '10155179633585952', 'cover_id': '10155179633585952', 'offset_y': 0}</t>
  </si>
  <si>
    <t>{'source': 'https://scontent.xx.fbcdn.net/v/t31.0-8/s851x315/24059619_10155907352714836_4110302373393409628_o.jpg?oh=a7d93eaba7758fe3b7d661d7ef1b42b2&amp;oe=5B483607', 'offset_x': 0, 'id': '10155907352714836', 'cover_id': '10155907352714836', 'offset_y': 0}</t>
  </si>
  <si>
    <t>{'city': 'Windhoek', 'longitude': 17.0911999, 'country': 'Namibia', 'street': 'Robert Mugabe Avenue', 'latitude': -22.5769405}</t>
  </si>
  <si>
    <t>{'source': 'https://scontent.xx.fbcdn.net/v/t31.0-8/s720x720/16722612_1122549941189801_2046510481064382004_o.jpg?oh=555e9dc3a1124fea7fd5ebc7ceed50e3&amp;oe=5B498AAA', 'offset_x': 600, 'id': '1122549941189801', 'cover_id': '1122549941189801', 'offset_y': 0}</t>
  </si>
  <si>
    <t>{'source': 'https://scontent.xx.fbcdn.net/v/t1.0-9/s720x720/27867531_10160081398400165_5648173473745291658_n.jpg?oh=46fc2e14992393b9b57e8d6febc424ac&amp;oe=5B30148B', 'offset_x': 600, 'id': '10160081398400165', 'cover_id': '10160081398400165', 'offset_y': 0}</t>
  </si>
  <si>
    <t>{'source': 'https://scontent.xx.fbcdn.net/v/t1.0-0/p480x480/18835541_1978718585674884_4778040732758446539_n.jpg?oh=0c3da0e3d3c6cb030512b1c88d07a15a&amp;oe=5B33CE45', 'offset_x': 0, 'id': '1978718585674884', 'cover_id': '1978718585674884', 'offset_y': 33}</t>
  </si>
  <si>
    <t>{'source': 'https://scontent.xx.fbcdn.net/v/t31.0-8/s720x720/28827503_10155427319307076_2546098860721476902_o.jpg?oh=195775f94b59dccae82ffe28d3b01cac&amp;oe=5B031654', 'offset_x': 0, 'id': '10155427319307076', 'cover_id': '10155427319307076', 'offset_y': 24}</t>
  </si>
  <si>
    <t>{'source': 'https://scontent.xx.fbcdn.net/v/t1.0-9/s720x720/28279671_2150157535214718_3862467962844384440_n.jpg?oh=f76290b01f6850874fd3abcd8078b9bd&amp;oe=5B3F7D6D', 'offset_x': 600, 'id': '2150157535214718', 'cover_id': '2150157535214718', 'offset_y': 0}</t>
  </si>
  <si>
    <t>{'source': 'https://scontent.xx.fbcdn.net/v/t31.0-8/s720x720/27624773_1740824625981118_2034985471245533564_o.jpg?oh=7e5b925bf6443d945e0f35b1b2d440c2&amp;oe=5B3385BC', 'offset_x': 0, 'id': '1740824625981118', 'cover_id': '1740824625981118', 'offset_y': 50}</t>
  </si>
  <si>
    <t>{'source': 'https://scontent.xx.fbcdn.net/v/t31.0-0/p480x480/24785051_1524111964292899_2414562126431560175_o.jpg?oh=8022420c5687cbadaa204331e07d8cd9&amp;oe=5B4377C3', 'offset_x': 0, 'id': '1524111964292899', 'cover_id': '1524111964292899', 'offset_y': 64}</t>
  </si>
  <si>
    <t>{'source': 'https://scontent.xx.fbcdn.net/v/t1.0-9/s720x720/21752096_1903595613240561_9037491286752286339_n.jpg?oh=7fd6c50ea5e8d1fea99e15cfa01a5d18&amp;oe=5B32D005', 'offset_x': 600, 'id': '1903595613240561', 'cover_id': '1903595613240561', 'offset_y': 0}</t>
  </si>
  <si>
    <t>{'source': 'https://scontent.xx.fbcdn.net/v/t31.0-8/s720x720/10506550_791078824277548_2757380275993061579_o.jpg?oh=f9c4001a5d3ea6449ddd59e197504234&amp;oe=5B048539', 'offset_x': 0, 'id': '791078824277548', 'cover_id': '791078824277548', 'offset_y': 0}</t>
  </si>
  <si>
    <t>[{'id': '1032965636792826', 'name': 'Government Building'}, {'id': '241113486274430', 'name': 'Legal'}, {'id': '161422927240513', 'name': 'Government Organization'}]</t>
  </si>
  <si>
    <t>{'zip': '267', 'longitude': 25.909569924959, 'country': 'Botswana', 'street': 'Main Mall', 'latitude': -24.65882225004, 'city': 'Gaborone'}</t>
  </si>
  <si>
    <t>{'source': 'https://scontent.xx.fbcdn.net/v/t31.0-8/s720x720/10887351_752362878193275_2863646471807118552_o.jpg?oh=90e5d5fc1481f63c1a097812fc06d3b3&amp;oe=5B39A090', 'offset_x': 0, 'id': '752362878193275', 'cover_id': '752362878193275', 'offset_y': 52}</t>
  </si>
  <si>
    <t>{'source': 'https://scontent.xx.fbcdn.net/v/t31.0-8/s720x720/413528_317241311680745_1456670993_o.jpg?oh=cd55721e1cd98a582c9fb353b9d46a60&amp;oe=5B3BC97F', 'offset_x': 0, 'id': '317241311680745', 'cover_id': '317241311680745', 'offset_y': 103}</t>
  </si>
  <si>
    <t>{'longitude': -78.486671447754, 'latitude': 26.634263129897}</t>
  </si>
  <si>
    <t>{'source': 'https://scontent.xx.fbcdn.net/v/t1.0-9/s720x720/26904749_530017090707322_6285890604984006166_n.png?oh=1d818753a31bb78519c76b175bc23a28&amp;oe=5B4C563B', 'offset_x': 0, 'id': '530017090707322', 'cover_id': '530017090707322', 'offset_y': 0}</t>
  </si>
  <si>
    <t>{'source': 'https://scontent.xx.fbcdn.net/v/t1.0-9/s720x720/16865051_1913069388911884_8699792121929659119_n.jpg?oh=367b42d15ecb8253c0e88518e62ee3e7&amp;oe=5B38423C', 'offset_x': 600, 'id': '1913069388911884', 'cover_id': '1913069388911884', 'offset_y': 0}</t>
  </si>
  <si>
    <t>{'zip': '1868', 'longitude': -61.521501572857, 'country': 'Trinidad and Tobago', 'street': '13-15 St. Clair Avenue, St. Clair', 'latitude': 10.667897974286, 'city': 'Port of Spain'}</t>
  </si>
  <si>
    <t>{'source': 'https://scontent.xx.fbcdn.net/v/t1.0-9/s720x720/29177324_590316207987565_6519417586873008128_o.jpg?oh=d2487ab2774a1185e3ae924d7ae8777c&amp;oe=5B458372', 'offset_x': 0, 'id': '590316201320899', 'cover_id': '590316201320899', 'offset_y': 0}</t>
  </si>
  <si>
    <t>{'fri_1_open': '08:00', 'tue_1_open': '08:00', 'mon_1_close': '16:15', 'mon_1_open': '08:00', 'tue_1_close': '16:15', 'wed_1_open': '08:00', 'thu_1_open': '08:00', 'wed_1_close': '16:15', 'fri_1_close': '16:00', 'thu_1_close': '16:15'}</t>
  </si>
  <si>
    <t>{'city': 'Kampala', 'zip': 'PO Box 341', 'country': 'Uganda'}</t>
  </si>
  <si>
    <t>{'source': 'https://scontent.xx.fbcdn.net/v/t31.0-8/s720x720/28071056_1216273248503489_1956843244980696679_o.jpg?oh=cb3326a80c49a6a8a08263042466f947&amp;oe=5B0177B7', 'offset_x': 0, 'id': '1216273248503489', 'cover_id': '1216273248503489', 'offset_y': 38}</t>
  </si>
  <si>
    <t>{'source': 'https://scontent.xx.fbcdn.net/v/t31.0-8/s720x720/12792309_10153893265811093_8066034371246086142_o.jpg?oh=6bcae53c43ca54480c73389ccf8e1b0b&amp;oe=5B498BB1', 'offset_x': 0, 'id': '10153893265811093', 'cover_id': '10153893265811093', 'offset_y': 0}</t>
  </si>
  <si>
    <t>{'city': 'Astana', 'zip': '010000', 'country': 'Kazakhstan'}</t>
  </si>
  <si>
    <t>{'source': 'https://scontent.xx.fbcdn.net/v/t31.0-8/s720x720/14053871_1166207686736085_6534381451737515503_o.jpg?oh=8acc6fc4cadeee08412a27c8f4e334ae&amp;oe=5B3D1548', 'offset_x': 600, 'id': '1166207686736085', 'cover_id': '1166207686736085', 'offset_y': 0}</t>
  </si>
  <si>
    <t>{'fri_1_open': '09:00', 'tue_1_open': '09:00', 'mon_1_close': '19:00', 'mon_1_open': '09:00', 'tue_1_close': '19:00', 'wed_1_open': '09:00', 'thu_1_open': '09:00', 'wed_1_close': '19:00', 'fri_1_close': '19:00', 'thu_1_close': '19:00'}</t>
  </si>
  <si>
    <t>{'source': 'https://scontent.xx.fbcdn.net/v/t31.0-8/s720x720/26171750_1110941895675766_3269651411581642553_o.jpg?oh=123dd36793975a760a88346a2b090bfa&amp;oe=5B32D902', 'offset_x': 0, 'id': '1110941895675766', 'cover_id': '1110941895675766', 'offset_y': 18}</t>
  </si>
  <si>
    <t>{'source': 'https://scontent.xx.fbcdn.net/v/t31.0-8/s720x720/13217564_1165715426812162_5724315696280038590_o.jpg?oh=809c0cec1f233897fda05edef22c4127&amp;oe=5B49FD00', 'offset_x': 0, 'id': '1165715426812162', 'cover_id': '1165715426812162', 'offset_y': 88}</t>
  </si>
  <si>
    <t>{'city': 'Madrid', 'zip': '28071', 'longitude': -3.7963907, 'country': 'Spain', 'latitude': 43.4633401}</t>
  </si>
  <si>
    <t>{'source': 'https://scontent.xx.fbcdn.net/v/t1.0-0/p480x480/20953570_1578229502236718_6593287265447366715_n.jpg?oh=8c69ef1709656b1265f920ad6da66444&amp;oe=5B48F7DF', 'offset_x': 0, 'id': '1578229502236718', 'cover_id': '1578229502236718', 'offset_y': 46}</t>
  </si>
  <si>
    <t>{'longitude': -47.861037502107, 'latitude': -15.799630223979}</t>
  </si>
  <si>
    <t>{'source': 'https://scontent.xx.fbcdn.net/v/t1.0-9/s720x720/22196205_990418661096000_6495385349304173016_n.png?oh=c5d4c8b2ba354e630630027b6aaff8b2&amp;oe=5B4B06E6', 'offset_x': 0, 'id': '990418661096000', 'cover_id': '990418661096000', 'offset_y': 0}</t>
  </si>
  <si>
    <t>{'city': 'Monaco-Ville', 'located_in': '473214159389881', 'country': 'Monaco'}</t>
  </si>
  <si>
    <t>{'source': 'https://scontent.xx.fbcdn.net/v/t1.0-9/s720x720/10923331_987164817962724_3910745577841058294_n.png?oh=58218421796beeaeafee3a9a3ced2a1f&amp;oe=5B32D8DF', 'offset_x': 0, 'id': '987164817962724', 'cover_id': '987164817962724', 'offset_y': 0}</t>
  </si>
  <si>
    <t>{'zip': '96940', 'longitude': 134.46938713, 'country': 'Palau', 'street': '6051 Palau', 'latitude': 7.34287642, 'city': 'Koror'}</t>
  </si>
  <si>
    <t>{'source': 'https://scontent.xx.fbcdn.net/v/t31.0-8/s720x720/886765_169621769856597_821899597_o.jpg?oh=50ae15d9b4f2021845c6b85797839b08&amp;oe=5B2DE684', 'offset_x': 0, 'id': '169621769856597', 'cover_id': '169621769856597', 'offset_y': 100}</t>
  </si>
  <si>
    <t>{'source': 'https://scontent.xx.fbcdn.net/v/t31.0-8/s720x720/21368906_1422402604494382_5082842080322461017_o.jpg?oh=12288f7589461307a93531b60f23a95b&amp;oe=5B03AC1D', 'offset_x': 0, 'id': '1422402604494382', 'cover_id': '1422402604494382', 'offset_y': 10}</t>
  </si>
  <si>
    <t>{'city': 'Ramallah', 'longitude': 35.201439857483, 'country': 'Palestine', 'street': 'الماصيون- وزارة التخطيط- ط 4', 'latitude': 31.895230702012}</t>
  </si>
  <si>
    <t>{'source': 'https://scontent.xx.fbcdn.net/v/t31.0-8/s720x720/16797113_1392886667451820_2805944679515706306_o.jpg?oh=6be2ffb332f2a1302a3eb60c7a115407&amp;oe=5B435BF1', 'offset_x': 0, 'id': '1392886667451820', 'cover_id': '1392886667451820', 'offset_y': 30}</t>
  </si>
  <si>
    <t>{'source': 'https://scontent.xx.fbcdn.net/v/t31.0-8/s720x720/28618816_1446629395441177_5242767469370903074_o.jpg?oh=2a098ea6186572a4b51c523ca6019bf1&amp;oe=5B4AA3B6', 'offset_x': 0, 'id': '1446629395441177', 'cover_id': '1446629395441177', 'offset_y': 61}</t>
  </si>
  <si>
    <t>{'source': 'https://scontent.xx.fbcdn.net/v/t31.0-8/q83/s720x720/11538953_766130270175101_7688403197922076656_o.jpg?oh=ec3aff0dc6f66620aeac0d6895c1e8ee&amp;oe=5B358B39', 'offset_x': 0, 'id': '766130270175101', 'cover_id': '766130270175101', 'offset_y': 45}</t>
  </si>
  <si>
    <t>{'source': 'https://scontent.xx.fbcdn.net/v/t31.0-8/s720x720/15975229_1001058683333122_2522258563085997417_o.jpg?oh=8c4a7d84990f35c4a0435b9bf382b492&amp;oe=5B2DAC8D', 'offset_x': 0, 'id': '1001058683333122', 'cover_id': '1001058683333122', 'offset_y': 0}</t>
  </si>
  <si>
    <t>{'source': 'https://scontent.xx.fbcdn.net/v/t1.0-9/s720x720/488025_450544994976746_1703709085_n.jpg?oh=43c7570bf8a231d22b6b25d14e2672c2&amp;oe=5B44CAF5', 'offset_x': 0, 'id': '450544994976746', 'cover_id': '450544994976746', 'offset_y': 0}</t>
  </si>
  <si>
    <t>{'source': 'https://scontent.xx.fbcdn.net/v/t31.0-8/s720x720/14205994_1784178358490218_3056653183845016497_o.jpg?oh=17f0f5c06eb4937e67743fb8c486b779&amp;oe=5B34EDD9', 'offset_x': 0, 'id': '1784178358490218', 'cover_id': '1784178358490218', 'offset_y': 65}</t>
  </si>
  <si>
    <t>{'source': 'https://scontent.xx.fbcdn.net/v/t31.0-8/s720x720/28698593_1910135108997804_1912538917978508204_o.jpg?oh=e82bd282e7c079c5c59e9bec54483fc0&amp;oe=5B2DC6D0', 'offset_x': 0, 'id': '1910135108997804', 'cover_id': '1910135108997804', 'offset_y': 23}</t>
  </si>
  <si>
    <t>{'zip': 'Jr. Carabaya Cdr', 'longitude': -77.029555273819, 'country': 'Peru', 'street': 'Jr. Carabaya Cdra. 1 S/N', 'latitude': -12.045172939792, 'city': 'Lima'}</t>
  </si>
  <si>
    <t>{'source': 'https://scontent.xx.fbcdn.net/v/t1.0-9/s720x720/26904263_1825281964171449_4108782881015637505_n.jpg?oh=bd964530e37e434bddf1a597216d220c&amp;oe=5B4DF07F', 'offset_x': 0, 'id': '1825281964171449', 'cover_id': '1825281964171449', 'offset_y': 0}</t>
  </si>
  <si>
    <t>{'city': 'Manila', 'zip': '1005', 'country': 'Philippines'}</t>
  </si>
  <si>
    <t>{'source': 'https://scontent.xx.fbcdn.net/v/t31.0-8/q89/s720x720/23467198_1935424183153900_8169884174509568422_o.jpg?oh=061c793e8a38b15a8c7eac3b0a212c3e&amp;oe=5B344C74', 'offset_x': 600, 'id': '1935424183153900', 'cover_id': '1935424183153900', 'offset_y': 0}</t>
  </si>
  <si>
    <t>{'source': 'https://scontent.xx.fbcdn.net/v/t1.0-9/s720x720/28379628_1216780201789703_6336544971734008688_n.png?oh=7725d7b964dae54e95a4a3462f4ac4bd&amp;oe=5B418924', 'offset_x': 50, 'id': '1216780201789703', 'cover_id': '1216780201789703', 'offset_y': 0}</t>
  </si>
  <si>
    <t>Ph%E1%BA%A1m-B%C3%ACnh-Minh-919861878132744</t>
  </si>
  <si>
    <t>Phạm Bình Minh</t>
  </si>
  <si>
    <t>http://phambinhminh.net/</t>
  </si>
  <si>
    <t>Phó Thủ Tướng Chính Phủ - Phạm Bình Minh</t>
  </si>
  <si>
    <t>https://www.facebook.com/Phạm-Bình-Minh-919861878132744/</t>
  </si>
  <si>
    <t>{'source': 'https://scontent.xx.fbcdn.net/v/t1.0-9/s720x720/12802970_921417854643813_4997207856469685516_n.jpg?oh=a7a219704cc0dac9074bb232971bbdf4&amp;oe=5B46AF86', 'offset_x': 0, 'id': '921417854643813', 'cover_id': '921417854643813', 'offset_y': 0}</t>
  </si>
  <si>
    <t>{'source': 'https://scontent.xx.fbcdn.net/v/t1.0-9/s720x720/26239566_1662055087210895_2333359340327453308_n.jpg?oh=d7821acec26b7417a1cc11212e29432b&amp;oe=5B37E089', 'offset_x': 600, 'id': '1662055087210895', 'cover_id': '1662055087210895', 'offset_y': 0}</t>
  </si>
  <si>
    <t>{'source': 'https://scontent.xx.fbcdn.net/v/t1.0-9/s720x720/29062797_1721466854562780_9198182328541642752_n.jpg?oh=7804d2d56756c6676137971d19ae8c98&amp;oe=5B3F5B73', 'offset_x': 0, 'id': '1721466851229447', 'cover_id': '1721466851229447', 'offset_y': 51}</t>
  </si>
  <si>
    <t>{'zip': '16000', 'longitude': 3.0564093589783, 'country': 'Algeria', 'street': 'Rue Docteur Saâdane, Palais du Gouvernement', 'latitude': 36.774376090202, 'city': 'Algiers'}</t>
  </si>
  <si>
    <t>{'source': 'https://scontent.xx.fbcdn.net/v/t1.0-9/s720x720/22365576_189870661556979_6100661819655346280_n.jpg?oh=af3687f727e24a192467fdd62ab0d3f2&amp;oe=5B3AD429', 'offset_x': 0, 'id': '189870661556979', 'cover_id': '189870661556979', 'offset_y': 45}</t>
  </si>
  <si>
    <t>{'city': 'Tripoli', 'zip': '00218', 'longitude': 13.191747818, 'country': 'Libya', 'latitude': 32.8814018102}</t>
  </si>
  <si>
    <t>{'source': 'https://scontent.xx.fbcdn.net/v/t31.0-8/s720x720/463312_316814518399167_1548950991_o.jpg?oh=cee31bc9ed60b3466d218c20fdfd1f9c&amp;oe=5B4E7FF3', 'offset_x': 0, 'id': '316814518399167', 'cover_id': '316814518399167', 'offset_y': 47}</t>
  </si>
  <si>
    <t>{'tue_1_open': '09:00', 'sun_1_open': '09:00', 'wed_1_open': '09:00', 'thu_1_close': '15:00', 'sat_1_close': '15:00', 'sun_1_close': '15:00', 'mon_1_open': '09:00', 'tue_1_close': '15:00', 'mon_1_close': '15:00', 'thu_1_open': '09:00', 'wed_1_close': '15:00', 'sat_1_open': '09:00'}</t>
  </si>
  <si>
    <t>{'city': 'Addis Ababa', 'zip': '10000', 'country': 'Ethiopia', 'street': '4killo'}</t>
  </si>
  <si>
    <t>{'source': 'https://scontent.xx.fbcdn.net/v/t31.0-8/s720x720/28162042_1392544004185440_469534358485076987_o.jpg?oh=cc29c4f907a55c4961245150a2c59898&amp;oe=5B32A2CB', 'offset_x': 0, 'id': '1392544004185440', 'cover_id': '1392544004185440', 'offset_y': 0}</t>
  </si>
  <si>
    <t>http://Twitter.com/pmharriskn</t>
  </si>
  <si>
    <t>{'source': 'https://scontent.xx.fbcdn.net/v/t1.0-9/28576198_573070953070815_2275415490776397608_n.jpg?oh=46903038b206a60d01694480dc4c4707&amp;oe=5B2E8E47', 'offset_x': 0, 'id': '573070953070815', 'cover_id': '573070953070815', 'offset_y': 51}</t>
  </si>
  <si>
    <t>{'source': 'https://scontent.xx.fbcdn.net/v/t1.0-9/s720x720/27072956_1506469589465739_5384457650631367357_n.jpg?oh=47ee4250bc15b79383666b6eb7ffe31c&amp;oe=5B3C4256', 'offset_x': 0, 'id': '1506469589465739', 'cover_id': '1506469589465739', 'offset_y': 0}</t>
  </si>
  <si>
    <t>{'zip': '110011', 'longitude': 77.21525, 'country': 'India', 'street': 'South Block', 'latitude': 28.54199, 'city': 'New Delhi'}</t>
  </si>
  <si>
    <t>{'source': 'https://scontent.xx.fbcdn.net/v/t1.0-9/s720x720/10366271_485767731553936_6594204262994656557_n.jpg?oh=6e05ffdebff424c9610c8f013989f257&amp;oe=5B2F496F', 'offset_x': 0, 'id': '485767731553936', 'cover_id': '485767731553936', 'offset_y': 0}</t>
  </si>
  <si>
    <t>{'zip': '11180', 'longitude': 35.9333, 'country': 'Jordan', 'street': 'JORDAN', 'latitude': 31.95, 'city': 'Amman'}</t>
  </si>
  <si>
    <t>{'source': 'https://scontent.xx.fbcdn.net/v/t1.0-9/s720x720/23131775_1857969144230935_4037092838371567588_n.png?oh=a4b765c26e7118c4dcc50d942098de4b&amp;oe=5B42BF8F', 'offset_x': 0, 'id': '1857969144230935', 'cover_id': '1857969144230935', 'offset_y': 0}</t>
  </si>
  <si>
    <t>{'zip': '62502', 'longitude': 101.69236063957, 'country': 'Malaysia', 'street': 'Bangunan Perdana Putra', 'latitude': 2.9386693098126, 'city': 'Putrajaya'}</t>
  </si>
  <si>
    <t>{'source': 'https://scontent.xx.fbcdn.net/v/t31.0-8/s720x720/12764503_1270476626301647_4273380821292597340_o.jpg?oh=9b24702927d34025edbd7afbe8ad7cdd&amp;oe=5B39A3F4', 'offset_x': 0, 'id': '1270476626301647', 'cover_id': '1270476626301647', 'offset_y': 29}</t>
  </si>
  <si>
    <t>{'zip': 'P.O Box G1', 'longitude': 159.94982894, 'country': 'Solomon Islands', 'street': 'Office of the Prime Minister &amp; Cabinet', 'latitude': -9.43029118, 'city': 'Honiara'}</t>
  </si>
  <si>
    <t>{'source': 'https://scontent.xx.fbcdn.net/v/t31.0-0/p180x540/23845813_1884668164894810_587280388575241257_o.jpg?oh=f1f83c91c23b0211ba3595639e95a12e&amp;oe=5B42828A', 'offset_x': 0, 'id': '1884668164894810', 'cover_id': '1884668164894810', 'offset_y': 47}</t>
  </si>
  <si>
    <t>{'zip': '00-580', 'longitude': 21.0234099, 'country': 'Poland', 'street': 'Aleja Jana Chrystiana Szucha 23', 'latitude': 52.21716, 'city': 'Warsaw'}</t>
  </si>
  <si>
    <t>{'source': 'https://scontent.xx.fbcdn.net/v/t1.0-9/s720x720/26994048_1754596484560584_6008404204063946722_n.png?oh=8edb4a3e2ffd7b5a80cbdf7d6ba93660&amp;oe=5B43FC0B', 'offset_x': 0, 'id': '1754596484560584', 'cover_id': '1754596484560584', 'offset_y': 0}</t>
  </si>
  <si>
    <t>{'longitude': -51.328125, 'latitude': -12.554563528594}</t>
  </si>
  <si>
    <t>{'source': 'https://scontent.xx.fbcdn.net/v/t1.0-9/s720x720/14141990_1230266747025879_106166033597876776_n.jpg?oh=035a7dee3e0aed04e2b1a61538724ff3&amp;oe=5B320DF3', 'offset_x': 600, 'id': '1230266747025879', 'cover_id': '1230266747025879', 'offset_y': 0}</t>
  </si>
  <si>
    <t>{'source': 'https://scontent.xx.fbcdn.net/v/t31.0-0/p240x240/16177511_1228427760559995_7051302267553213546_o.jpg?oh=533380eb0ff89c3a2c082c038ce688a0&amp;oe=5B353707', 'offset_x': 62, 'id': '1228427760559995', 'cover_id': '1228427760559995', 'offset_y': 0}</t>
  </si>
  <si>
    <t>{'longitude': -71.71875, 'latitude': -12.211180191504}</t>
  </si>
  <si>
    <t>{'source': 'https://scontent.xx.fbcdn.net/v/t31.0-8/s720x720/27788657_1820701897942757_379419550952557701_o.jpg?oh=9f6dc4557fc86744748d08e745d85f7f&amp;oe=5B39D1F8', 'offset_x': 0, 'id': '1820701897942757', 'cover_id': '1820701897942757', 'offset_y': 0}</t>
  </si>
  <si>
    <t>{'zip': '95', 'longitude': 11.511994637527, 'country': 'Cameroon', 'latitude': 3.8380933004321, 'city': 'Yaoundé', 'located_in': '1445844435629095'}</t>
  </si>
  <si>
    <t>{'source': 'https://scontent.xx.fbcdn.net/v/t31.0-8/s720x720/13029726_259471251065083_2357094387551321817_o.jpg?oh=de9cb485b695ccb3c27d13b7120880a8&amp;oe=5B04AB76', 'offset_x': 0, 'id': '259471251065083', 'cover_id': '259471251065083', 'offset_y': 19}</t>
  </si>
  <si>
    <t>{'city': 'Belgrade', 'zip': '11000', 'country': 'Serbia', 'street': 'Andrićev venac 1'}</t>
  </si>
  <si>
    <t>{'source': 'https://scontent.xx.fbcdn.net/v/t1.0-9/581776_514589248587791_1062226423_n.jpg?oh=0d9389ca5aba1ad6a78bd49d4a360600&amp;oe=5B35EF8F', 'offset_x': 0, 'id': '514589248587791', 'cover_id': '514589248587791', 'offset_y': 54}</t>
  </si>
  <si>
    <t>{'source': 'https://scontent.xx.fbcdn.net/v/t31.0-0/p480x480/27173949_1706272192743409_1329845259800642571_o.jpg?oh=745d51fbb229121ab793403aea45799a&amp;oe=5B394138', 'offset_x': 0, 'id': '1706272192743409', 'cover_id': '1706272192743409', 'offset_y': 67}</t>
  </si>
  <si>
    <t>{'source': 'https://scontent.xx.fbcdn.net/v/t1.0-9/s720x720/12047055_171581409846042_1311010359059861767_n.jpg?oh=2c233b431af467d12317070e78c1333f&amp;oe=5B35C3AF', 'offset_x': 0, 'id': '171581409846042', 'cover_id': '171581409846042', 'offset_y': 0}</t>
  </si>
  <si>
    <t>{'source': 'https://scontent.xx.fbcdn.net/v/t1.0-9/s720x720/12802767_962252550530473_1014298662403347143_n.jpg?oh=89c6a1b0fdeacc77e051a1722725c158&amp;oe=5B3A429F', 'offset_x': 0, 'id': '962252550530473', 'cover_id': '962252550530473', 'offset_y': 71}</t>
  </si>
  <si>
    <t>{'source': 'https://scontent.xx.fbcdn.net/v/t31.0-8/s720x720/10466971_487294798119462_7950148726519165235_o.jpg?oh=6b4c698021caf45087202739e1a05af5&amp;oe=5B016B48', 'offset_x': 54, 'id': '487294798119462', 'cover_id': '487294798119462', 'offset_y': 0}</t>
  </si>
  <si>
    <t>{'city': 'Niamey', 'longitude': 2.12177, 'country': 'Niger', 'street': 'Niger', 'latitude': 13.509955}</t>
  </si>
  <si>
    <t>{'source': 'https://scontent.xx.fbcdn.net/v/t1.0-9/s720x720/10689789_1493196377622475_1088044062921291729_n.jpg?oh=184e39ba0cae61c8258dc973a32bb8e6&amp;oe=5B3A8E06', 'offset_x': 0, 'id': '1493196377622475', 'cover_id': '1493196377622475', 'offset_y': 0}</t>
  </si>
  <si>
    <t>[{'id': '161422927240513', 'name': 'Government Organization'}, {'id': '1032965636792826', 'name': 'Government Building'}, {'id': '265274547167554', 'name': 'Architectural Engineer'}]</t>
  </si>
  <si>
    <t>{'zip': '00223', 'longitude': -8.00113, 'country': 'Mali', 'street': 'BP 10 Koulouba', 'latitude': 12.6632, 'city': 'Bamako'}</t>
  </si>
  <si>
    <t>{'source': 'https://scontent.xx.fbcdn.net/v/t31.0-0/p480x480/17917865_1540515875967899_6314654831896544493_o.jpg?oh=7e0408d9dcb3f8018e61d6a5cbc18440&amp;oe=5B48E1CD', 'offset_x': 0, 'id': '1540515875967899', 'cover_id': '1540515875967899', 'offset_y': 50}</t>
  </si>
  <si>
    <t>{'source': 'https://scontent.xx.fbcdn.net/v/t31.0-8/s720x720/19577526_1498505236874195_1948464984080265035_o.jpg?oh=cc1bc58a3da616247e04e16e8f99becd&amp;oe=5B31FD3D', 'offset_x': 0, 'id': '1498505236874195', 'cover_id': '1498505236874195', 'offset_y': 68}</t>
  </si>
  <si>
    <t>{'city': 'Cotonou', 'zip': '+229', 'longitude': 2.28515625, 'country': 'Benin', 'latitude': 6.6646075621726}</t>
  </si>
  <si>
    <t>{'source': 'https://scontent.xx.fbcdn.net/v/t31.0-8/s720x720/23117067_1975503526067858_7268589285413283762_o.jpg?oh=0bbef008278283ec6bcc470bfd4cf79f&amp;oe=5B3D08B8', 'offset_x': 0, 'id': '1975503526067858', 'cover_id': '1975503526067858', 'offset_y': 46}</t>
  </si>
  <si>
    <t>{'source': 'https://scontent.xx.fbcdn.net/v/t1.0-0/p480x480/17799410_1038276146316920_5624709628974811705_n.jpg?oh=fcdd5aeaed0883a7be0a95473fd12ad9&amp;oe=5B33DBF5', 'offset_x': 0, 'id': '1038276146316920', 'cover_id': '1038276146316920', 'offset_y': 50}</t>
  </si>
  <si>
    <t>{'city': 'Abidjan', 'longitude': -3.9325138590771, 'country': "Côte d'Ivoire", 'latitude': 5.254125488009}</t>
  </si>
  <si>
    <t>{'source': 'https://scontent.xx.fbcdn.net/v/t1.0-9/s720x720/29027826_1280649405370615_75641928930033664_n.jpg?oh=6f8983684d21aca9bcd4d760b729887c&amp;oe=5B2EA96F', 'offset_x': 0, 'id': '1280649402037282', 'cover_id': '1280649402037282', 'offset_y': 44}</t>
  </si>
  <si>
    <t>{'zip': '1020', 'longitude': 10.182808778203, 'country': 'Tunisia', 'street': 'Place du Gouvernement - La Kasba ساحة الحكومة - القصبة', 'latitude': 36.799998246886, 'city': 'Tunis'}</t>
  </si>
  <si>
    <t>{'source': 'https://scontent.xx.fbcdn.net/v/t1.0-9/21751396_1929876130361198_8769457493946276973_n.jpg?oh=d0d3fe5da8d8903b58b0ae71aac34d44&amp;oe=5B3AA084', 'offset_x': 0, 'id': '1929876130361198', 'cover_id': '1929876130361198', 'offset_y': 49}</t>
  </si>
  <si>
    <t>{'source': 'https://scontent.xx.fbcdn.net/v/t31.0-0/p240x240/11229726_138451136492442_3760477035958289946_o.jpg?oh=70a31534303706c24099d24b992381e0&amp;oe=5B3CB6DC', 'offset_x': 62, 'id': '138451136492442', 'cover_id': '138451136492442', 'offset_y': 0}</t>
  </si>
  <si>
    <t>{'zip': '224', 'longitude': -13.715491494223, 'country': 'Guinea', 'street': 'Quelelé', 'latitude': 9.5080679929806, 'city': 'Conakry'}</t>
  </si>
  <si>
    <t>{'source': 'https://scontent.xx.fbcdn.net/v/t1.0-9/s720x720/18118833_1560078434004633_6063119481162424617_n.jpg?oh=720d59414c25d312ae882797d55f6a5d&amp;oe=5B2DC595', 'offset_x': 350, 'id': '1560078434004633', 'cover_id': '1560078434004633', 'offset_y': 0}</t>
  </si>
  <si>
    <t>{'city': 'Dakar', 'longitude': -17.456613146667, 'country': 'Senegal', 'latitude': 14.75079548}</t>
  </si>
  <si>
    <t>{'source': 'https://scontent.xx.fbcdn.net/v/t31.0-8/s720x720/26240577_1835642560060505_1148774206162288755_o.png?oh=6747b08122b0e3d026237790db9a30fa&amp;oe=5B3DAE32', 'offset_x': 0, 'id': '1835642560060505', 'cover_id': '1835642560060505', 'offset_y': 0}</t>
  </si>
  <si>
    <t>{'source': 'https://scontent.xx.fbcdn.net/v/t1.0-9/s720x720/26220174_718595778344375_6030775400828938334_n.jpg?oh=ed569a6b57c1c2f1422cdb2c3f8b0d36&amp;oe=5B2F9887', 'offset_x': 0, 'id': '718595778344375', 'cover_id': '718595778344375', 'offset_y': 32}</t>
  </si>
  <si>
    <t>{'city': 'Praia', 'zip': 'CP 100', 'country': 'Cape Verde', 'street': 'Plateau, Praia'}</t>
  </si>
  <si>
    <t>{'source': 'https://scontent.xx.fbcdn.net/v/t1.0-9/s720x720/23622142_1582994838405874_3905630660256280676_n.png?_nc_cat=0&amp;oh=f397847f7795226c538cb79314ca8d27&amp;oe=5B3C31A3', 'offset_x': 0, 'id': '1582994838405874', 'cover_id': '1582994838405874', 'offset_y': 0}</t>
  </si>
  <si>
    <t>{'source': 'https://scontent.xx.fbcdn.net/v/t1.0-9/s720x720/27973657_1617458178303834_7011153948538920305_n.jpg?oh=721fe11bc76e3a200a3748c4fb8572fe&amp;oe=5B00EC15', 'offset_x': 0, 'id': '1617458178303834', 'cover_id': '1617458178303834', 'offset_y': 20}</t>
  </si>
  <si>
    <t>{'city': 'Panama City', 'zip': 'Fax: (507) 527-9034', 'country': 'Panama', 'street': 'Palacio de Las Garzas, Corregimiento de San Felipe'}</t>
  </si>
  <si>
    <t>{'source': 'https://scontent.xx.fbcdn.net/v/t1.0-9/15621676_1171574026297671_4254843455614977469_n.jpg?oh=dc12c36b914d4a3d846e61c91aaddb39&amp;oe=5B451110', 'offset_x': 0, 'id': '1171574026297671', 'cover_id': '1171574026297671', 'offset_y': 0}</t>
  </si>
  <si>
    <t>{'city': 'Panama City', 'zip': '50', 'longitude': -79.534240465752, 'country': 'Panama', 'latitude': 8.9535854366612}</t>
  </si>
  <si>
    <t>{'source': 'https://scontent.xx.fbcdn.net/v/t1.0-9/s720x720/28951257_2071353889801104_1133259191570399232_n.jpg?oh=74588629d072c321f5c6ad81b9ce1739&amp;oe=5B434B03', 'offset_x': 46, 'id': '2071353886467771', 'cover_id': '2071353886467771', 'offset_y': 0}</t>
  </si>
  <si>
    <t>{'fri_1_open': '08:00', 'tue_1_open': '08:00', 'mon_1_close': '04:00', 'mon_1_open': '08:00', 'tue_1_close': '04:00', 'wed_1_open': '08:00', 'thu_1_open': '08:00', 'wed_1_close': '04:00', 'fri_1_close': '04:00', 'thu_1_close': '04:00'}</t>
  </si>
  <si>
    <t>{'zip': '550', 'longitude': -89.240206994443, 'country': 'El Salvador', 'street': 'Alameda Dr. Manuel Enrique Araujo, No. 5500.', 'latitude': 13.684727436794, 'city': 'San Salvador'}</t>
  </si>
  <si>
    <t>{'source': 'https://scontent.xx.fbcdn.net/v/t31.0-0/p240x240/28238454_10157277723248569_2332728825921983592_o.png?oh=d2d8aa2555e70a7c7429e3867497961b&amp;oe=5B39F98D', 'offset_x': 66, 'id': '10157277723248569', 'cover_id': '10157277723248569', 'offset_y': 0}</t>
  </si>
  <si>
    <t>{'source': 'https://scontent.xx.fbcdn.net/v/t1.0-9/s720x720/27752106_1625958520828266_9088700907743657237_n.jpg?oh=7d42e712c33d6f1e7e9e7c7aff4a53bb&amp;oe=5B30D32C', 'offset_x': 600, 'id': '1625958520828266', 'cover_id': '1625958520828266', 'offset_y': 0}</t>
  </si>
  <si>
    <t>{'source': 'https://scontent.xx.fbcdn.net/v/t31.0-8/s720x720/28071028_1777169322346232_2700651054697760139_o.jpg?oh=8d93a3937e48e662c2d5710e9ce2bad4&amp;oe=5B32B833', 'offset_x': 0, 'id': '1777169322346232', 'cover_id': '1777169322346232', 'offset_y': 0}</t>
  </si>
  <si>
    <t>{'city': 'Asunción', 'longitude': -57.63665, 'country': 'Paraguay', 'street': 'El Paraguayo Independiente y Oleary', 'latitude': -25.27875}</t>
  </si>
  <si>
    <t>{'source': 'https://scontent.xx.fbcdn.net/v/t31.0-8/s720x720/474359_337922122943980_1967874999_o.jpg?oh=3bc3bbf28ba7dfa8e267eff216bdabbf&amp;oe=5B38371E', 'offset_x': 0, 'id': '337922122943980', 'cover_id': '337922122943980', 'offset_y': 100}</t>
  </si>
  <si>
    <t>{'zip': '10205', 'longitude': -69.897209692293, 'country': 'Dominican Republic', 'street': 'República Dominicana', 'latitude': 18.475225832345, 'city': 'Santo Domingo'}</t>
  </si>
  <si>
    <t>{'source': 'https://scontent.xx.fbcdn.net/v/t1.0-9/s720x720/26168037_1550984038323248_1784838980609354413_n.jpg?oh=ace2f13dc983a3b9d6fbcde1498a1f8b&amp;oe=5B4134E3', 'offset_x': 300, 'id': '1550984038323248', 'cover_id': '1550984038323248', 'offset_y': 0}</t>
  </si>
  <si>
    <t>{'city': 'Male', 'zip': '20013', 'country': 'Maldives', 'street': "The President's Office"}</t>
  </si>
  <si>
    <t>{'source': 'https://scontent.xx.fbcdn.net/v/t31.0-8/s720x720/27021212_1699207170137921_8522461037856376055_o.jpg?oh=2dadbe0e97f4f61b629bf9c70dd754c9&amp;oe=5B407452', 'offset_x': 0, 'id': '1699207170137921', 'cover_id': '1699207170137921', 'offset_y': 34}</t>
  </si>
  <si>
    <t>{'zip': '0001', 'longitude': 28.211954291196, 'country': 'South Africa', 'street': '2430 Stone Rd. #', 'latitude': -25.741388045785, 'city': 'Pretoria'}</t>
  </si>
  <si>
    <t>{'source': 'https://scontent.xx.fbcdn.net/v/t1.0-9/s720x720/14449815_10153952237768997_49335439755581917_n.jpg?oh=96dd0e0fde93466ef263059d3f4bb506&amp;oe=5B3C672D', 'offset_x': 0, 'id': '10153952237768997', 'cover_id': '10153952237768997', 'offset_y': 0}</t>
  </si>
  <si>
    <t>{'source': 'https://scontent.xx.fbcdn.net/v/t31.0-0/p480x480/26756754_1916331692017579_1318578860154741139_o.jpg?oh=e401cd0df6d67286fa147febb81767b4&amp;oe=5B307609', 'offset_x': 0, 'id': '1916331692017579', 'cover_id': '1916331692017579', 'offset_y': 67}</t>
  </si>
  <si>
    <t>{'zip': '01220', 'longitude': 30.528892278671, 'country': 'Ukraine', 'street': 'вул. Банкова, 11', 'latitude': 50.444514008601, 'city': 'Kyiv'}</t>
  </si>
  <si>
    <t>{'source': 'https://scontent.xx.fbcdn.net/v/t31.0-8/s720x720/27503737_1232896583521873_8638640432745761703_o.jpg?oh=a1265becec52f1df2ee420036dffe064&amp;oe=5B497FC1', 'offset_x': 0, 'id': '1232896583521873', 'cover_id': '1232896583521873', 'offset_y': 52}</t>
  </si>
  <si>
    <t>{'city': 'Ramallah', 'zip': '+970', 'country': 'Palestine', 'street': "Al Etha'a St. , Al-Bireh"}</t>
  </si>
  <si>
    <t>{'source': 'https://scontent.xx.fbcdn.net/v/t1.0-9/s720x720/12039297_953831318008171_4968921776808665735_n.jpg?oh=c80dc17bfafe5fe5908209ec7201abef&amp;oe=5B41C5D0', 'offset_x': 0, 'id': '953831318008171', 'cover_id': '953831318008171', 'offset_y': 0}</t>
  </si>
  <si>
    <t>{'source': 'https://scontent.xx.fbcdn.net/v/t31.0-0/p480x480/10473621_1442090969429867_9201358282493047473_o.jpg?oh=9bee5826e879bbf93ba3adc55d4a640a&amp;oe=5B3C3108', 'offset_x': 0, 'id': '1442090969429867', 'cover_id': '1442090969429867', 'offset_y': 38}</t>
  </si>
  <si>
    <t>PresidentDrErnestBaiKoroma</t>
  </si>
  <si>
    <t>President Dr Ernest Bai Koroma</t>
  </si>
  <si>
    <t>President of the Republic of Sierra Leone serving second term in office.</t>
  </si>
  <si>
    <t xml:space="preserve">The President of the Republic of Sierra Leone, Dr. Ernest Bai Koroma was born on October 2, 1953 in Makeni in the Bombali-Sebora Chiefdom, Bombali District, Northern Sierra Leone. Ernest Bai Koroma is the eldest son of eight children. He attended the Sierra Leone Church Primary School, Government Secondary School, Magburaka (Boys School) and Fourah Bay College (FBC), University of Sierra Leone. He graduated in 1976 and taught at the St. Francis Secondary School in Makeni, before joining the Sierra Leone National Insurance Company (NIC) in 1978.
In 1985, the budding Insurance Specialist joined the Reliance Insurance Trust Corporation (RITCORP). A Chartered Insurer, Fellow of the West African Insurance Institute, (WAICA), Associate of Institute of Risk Management  and Member of the Institute of Directors in the UK, Ernest Bai Koroma became RITCORP’s Managing Director in 1988, a position he held up to the March 2002  Presidential elections.
Ernest Bai Koroma’s leadership qualities as head of a pioneering company, his public spiritedness, integrity, love and support for the common man and woman endeared him to supporters of the All People’s Congress (APC). The APC was formed in 1960 to advance the rights of ordinary citizens and secure the development of the country. 
The APC won Sierra Leone’s General Elections of 1967, assumed governance of the nation in 1968. A civil war started in 1991 led to the unconstitutional removal of the party from power and an atrocious conflict. 
The war ended in 2002, and the APC nominated Ernest Bai Koroma as its Presidential Candidate in elections held that year. The supporters of the APC found in Ernest Bai Koroma a leader who would combine his entrepreneurial skills and public spiritedness to carve a new path for development, private sector led growth and commitment to leaving no citizen behind in the country’s transformation into a peaceful, democratic and properly developing society.
The 2002 Presidential elections were a turning point in the political career of President Ernest Bai Koroma. Despite losing the Presidential elections, he increased the number of seats of the APC in the Sierra Leone Parliament from a paltry five to twenty-seven seats in the 2002 General Elections.  He became the Minority Leader in Parliament from 2002 to 2007. His transformative leadership qualities, commitment to country, dignity and integrity gained increased visibility during this period and endeared him to a majority of his compatriots. With great skill, fortitude, and perseverance, Ernest Bai Koroma led his party to victory in 2007 elections and assumed the Presidency of the country.  
Building on the APC’s Manifesto, he firmed up the aspirations of Sierra Leoneans into An Agenda for Change, an action oriented template for socio-economic transformation. He commenced the biggest road construction program in the history of the country; transformed the energy sector by completing the Bumbuna Hydro electricity project and improving electricity output in the country; launched the small holder commercialization program, and initiated the free health care program for pregnant women, lactating mothers and children under five. His reforms attracted hundreds of millions of dollars investment in the country’s mining and agricultural sectors, creating thousands of jobs and one of the highest economic growth rates in the world. 
President Koroma’s reforms attracted hundreds of millions of dollars of investment into Sierra Leone’s mining and agricultural sectors, which created thousands of jobs and Sierra Leone recorded one of the highest economic growth rates in the world.  President Koroma’s Human Rights record is exemplary, standing tall as the only President in Sierra Leone’s history that has not carried out capital punishment during his Presidency. Also he is on record for encouraging a Free Press and never sent any journalists to prison. Ernest Bai Koroma’s administration stepped up the fight against corruption, enacting one of the most robust anti-corruption legislation in Africa, ensuring the highest annual conviction for corruption offenses and the recovery of hundreds of millions of Leones from convictions of corruption cases.
A firm believer in equal rights and opportunities, Dr. Koroma has appointed women to high-ranking positions, including the Chief Justice (the first in the nation’s history), the Solicitor General, the Auditor General, the Commissioner General of the National Revenue Authority and a Brigadier General. 
Campaigning on a platform of doing more for the country through an Agenda for Prosperity, Ernest Bai Koroma won re-election as President on November 17, 2012. Whilst building up and expanding the achievements of the first term in office, the main thrust of his second term will be centering the youths in the country’s socio-political and economic development, attracting more investments through private sector friendly policies; and investments in developing the skills of Sierra Leoneans for active participation in the growing economy.
President Koroma is an internationally acknowledged statesman, drawing accolades from President Obama of the United States of America, former Prime Minister Tony Blair, and his African colleagues. He is currently team leader of Africa’s effort to reform the United Nations. 
Dr Ernest Bai Koroma is a devoted Christian, Married to First Lady Sia Nyama Koroma and is blessed with two daughters, Alice and Dankay
</t>
  </si>
  <si>
    <t>https://www.facebook.com/PresidentDrErnestBaiKoroma/</t>
  </si>
  <si>
    <t>{'city': 'Freetown', 'country': 'Sierra Leone', 'street': 'State House, Freetown'}</t>
  </si>
  <si>
    <t>{'source': 'https://scontent.xx.fbcdn.net/v/t1.0-9/s720x720/10303794_897733023586950_1044429398539768345_n.jpg?oh=1f7f001108909b5eaf1d1a0097e7cca9&amp;oe=5AFFB4D8', 'offset_x': 0, 'id': '897733023586950', 'cover_id': '897733023586950', 'offset_y': 48}</t>
  </si>
  <si>
    <t>+23276-664465</t>
  </si>
  <si>
    <t>State House, Freetown, Freetown, Sierra Leone</t>
  </si>
  <si>
    <t>{'source': 'https://scontent.xx.fbcdn.net/v/t1.0-9/s720x720/10382637_10155339784140112_7722191658684241428_n.jpg?oh=d0115c71e1e2d0740bfdd3c284723aae&amp;oe=5B429D11', 'offset_x': 0, 'id': '10155339784140112', 'cover_id': '10155339784140112', 'offset_y': 0}</t>
  </si>
  <si>
    <t>{'source': 'https://scontent.xx.fbcdn.net/v/t1.0-9/17615_147572182111295_2094945151_n.jpg?oh=a1855a60caf0a5599a7a36ce32be5073&amp;oe=5B2E2B41', 'offset_x': 600, 'id': '147572182111295', 'cover_id': '147572182111295', 'offset_y': 0}</t>
  </si>
  <si>
    <t>{'source': 'https://scontent.xx.fbcdn.net/v/t31.0-8/s720x720/18766530_10158592283020315_6545315308630928958_o.png?oh=1b33c6f802b76a9de99a6d21fbca2e20&amp;oe=5B4C1A0D', 'offset_x': 0, 'id': '10158592283020315', 'cover_id': '10158592283020315', 'offset_y': 0}</t>
  </si>
  <si>
    <t>{'source': 'https://scontent.xx.fbcdn.net/v/t31.0-8/s720x720/26233223_2038573599503230_4710786809872055194_o.jpg?oh=24ff09c0a5bb1fe8d039c12f737a593c&amp;oe=5B2F592B', 'offset_x': 0, 'id': '2038573599503230', 'cover_id': '2038573599503230', 'offset_y': 45}</t>
  </si>
  <si>
    <t>{'city': 'Tbilisi', 'zip': '0103', 'country': 'Georgia', 'street': 'მ.აბდუშელიშვილის ქ. #1'}</t>
  </si>
  <si>
    <t>{'source': 'https://scontent.xx.fbcdn.net/v/t31.0-8/s720x720/28061020_899350683566539_4903656276071372247_o.jpg?oh=3abd26327b08b079aaf4acda652b77f0&amp;oe=5B3F8210', 'offset_x': 0, 'id': '899350683566539', 'cover_id': '899350683566539', 'offset_y': 25}</t>
  </si>
  <si>
    <t>{'zip': '96960', 'longitude': 171.38044238091, 'country': 'Marshall Islands', 'street': 'P.O. Box 2', 'latitude': 7.0903844077249, 'city': 'Majuro'}</t>
  </si>
  <si>
    <t>{'source': 'https://scontent.xx.fbcdn.net/v/t31.0-8/s720x720/17039279_1831902283749508_3073606541038088420_o.jpg?oh=1509dab91cee1b6b56d2e7c33dcaae49&amp;oe=5B01188E', 'offset_x': 0, 'id': '1831902283749508', 'cover_id': '1831902283749508', 'offset_y': 19}</t>
  </si>
  <si>
    <t>{'city': 'The Palace, Valletta', 'zip': 'Malta', 'street': 'Office of the President'}</t>
  </si>
  <si>
    <t>{'source': 'https://scontent.xx.fbcdn.net/v/t31.0-8/s720x720/26063678_2017665471849113_7356231316911067146_o.jpg?oh=c8cfbe76a8d4155196d840be6d41a407&amp;oe=5B38AF71', 'offset_x': 0, 'id': '2017665471849113', 'cover_id': '2017665471849113', 'offset_y': 47}</t>
  </si>
  <si>
    <t>{'source': 'https://scontent.xx.fbcdn.net/v/t1.0-9/s720x720/199426_10151034422087282_557923382_n.jpg?oh=5c26701bacd838b9997c1a1b30144c66&amp;oe=5B3A0135', 'offset_x': 0, 'id': '10151034422087282', 'cover_id': '10151034422087282', 'offset_y': 17}</t>
  </si>
  <si>
    <t>presidentpierrenkurunziza</t>
  </si>
  <si>
    <t>Pierre Nkurunziza, Président de la République du Burundi, un homme de Dieu, élu par le Peuple et qui préside pour le Peuple.</t>
  </si>
  <si>
    <t>Je suis originaire de la Province de Ngozi au nord du
Burundi où je suis né le 19 décembre 1964. J'ai fréquenté l’école
primaire dans ma région natale et ai poursuivi ma formation secondaire
en province de Gitega, au centre du pays, avant d’entamer mes études
universitaires en 1987. Mon père Eustache Ngabisha a été élu membre du
parlement burundais en 1965. Il deviendra plus tard Gouverneur de
province avant d’être tué au cours des violences ethniques de 1972 qui
ont emporté la vie de plusieurs milliers de Burundais. J'ai obtenu ma licence en 1991 et j'ai ensuite presté comme enseignant du
secondaire en province de Muramvya (centre du pays), avant d’être
recruté comme Professeur Assistant à l’Université du Burundi, de 1992
à 1994.
En 1995, quand le Burundi faisait face à sa plus sanglante guerre
civile liée aux antagonismes tribaux entre Hutu et Tutsi,  j'ai échappé
de justesse à un assassinat par des bandes armées. Au même moment, on
rapportait une attaque dirigée par des gendarmes ou des éléments de
l’armée contre le campus universitaire de Bujumbura, en connivence
avec certains étudiants, dont l’identité exacte reste toujours
inconnue.
Après cet incident, j'ai été obligé de prendre le chemin du maquis pour rejoindre les combattants de la rébellion du Conseil National pour la Défense de la Démocratie – Force de Défense de la Démocratie (CNDD-FDD). Je fus vite promu aux plus hautes responsabilités au sein de ce mouvement, gravant les échelons jusqu'à devenir Secrétaire Général du CNDD-FDD chargé des affaires intérieures en 1998.
En 2001, alors que des dissensions internes surgissaient au sein du
mouvement, j'ai été élu Président pour aider à redresser la situation. Lors d’une seconde élection d’août 2004, les congressistes décidèrent de me
maintenir à ce même poste.
En tant que Chef du CNDD-FDD, j'ai conduit ma délégation aux
négociations de paix d’Arusha (Tanzanie) avec le gouvernement de
transition du Burundi. Ce processus aura abouti à la signature d’un
accord global de cessez-le-feu et à un accord de partage du pouvoir en
2003.
En 2004, je suis élu Président du CNDD-FDD juste après l’enregistrement du mouvement comme parti politique agréé au Burundi. Déjà en 2003, j'avais été nommé Ministre d’Etat chargé de la Bonne Gouvernance dans le Gouvernement de Transition du Président Domitien NDAYIZEYE. Je suis et reste un homme de paix, de dialogue et de compromis.
C'est à ce titre que je serai désigné par mon parti, le Cndd-Fdd, comme candidat aux élections présidentielles de juin 2005. J'ai d’abord été élu parlementaire dans la circonscription de Ngozi, au nord du pays. En date du 19 août 2005, j'ai été élu Président de la République par un collège électoral formé de tous les parlementaires pour être investi une semaine plus tard, le 26 août 2005, Président de la République du Burundi.</t>
  </si>
  <si>
    <t>https://www.facebook.com/presidentpierrenkurunziza/</t>
  </si>
  <si>
    <t>{'city': 'Bujumbura', 'country': 'Burundi', 'street': 'Rohero, Commune Mukaza'}</t>
  </si>
  <si>
    <t>{'source': 'https://scontent.xx.fbcdn.net/v/t31.0-8/s720x720/17504690_760042087505382_327378193116777097_o.jpg?oh=e8bca991148c1e2043aee89816625799&amp;oe=5B4CD227', 'offset_x': 0, 'id': '760042087505382', 'cover_id': '760042087505382', 'offset_y': 44}</t>
  </si>
  <si>
    <t>CNDD-FDD</t>
  </si>
  <si>
    <t>Pierre Nkurunziza, né le 18 décembre 1963 à Ngozi, est un homme politique burundais, à la tête des Conseil national pour la défense de la démocratie-Forces pour la défense de la démocratie (CNDD-FDD) comme Président du Conseil des Sages. 
Ancien ministre de la Bonne gouvernance et de l’Inspection générale de l’État du gouvernement de transition du président Domitien Ndayizeye, il est élu comme nouveau Président de la République le 19 août 2005 et réélu en juin 2010 et juillet 2015.</t>
  </si>
  <si>
    <t>Rohero, Commune Mukaza, Bujumbura, Burundi</t>
  </si>
  <si>
    <t>{'source': 'https://scontent.xx.fbcdn.net/v/t31.0-8/s720x720/21248356_1439772196060098_2537580814142026136_o.jpg?oh=3c5ad633d27e7b675efaaf202c6c7106&amp;oe=5B4E11D1', 'offset_x': 50, 'id': '1439772196060098', 'cover_id': '1439772196060098', 'offset_y': 0}</t>
  </si>
  <si>
    <t>{'city': 'Kampala', 'zip': '+256', 'country': 'Democratic Republic of the Congo'}</t>
  </si>
  <si>
    <t>{'source': 'https://scontent.xx.fbcdn.net/v/t31.0-0/p480x480/27355820_1200014246800664_8699859194757099559_o.jpg?oh=b89adbbadcedc5699f8fe1cfae5512bd&amp;oe=5B44BA37', 'offset_x': 0, 'id': '1200014246800664', 'cover_id': '1200014246800664', 'offset_y': 50}</t>
  </si>
  <si>
    <t>{'source': 'https://scontent.xx.fbcdn.net/v/t31.0-8/s720x720/15994890_1226670070744211_620584337692370668_o.jpg?oh=b91c239d8fcf4be01fdb0100cc8cb3a5&amp;oe=5B322C32', 'offset_x': 0, 'id': '1226670070744211', 'cover_id': '1226670070744211', 'offset_y': 0}</t>
  </si>
  <si>
    <t>{'zip': '720040', 'longitude': 74.597854614258, 'country': 'Kyrgyzstan', 'street': 'Бульвар Эркиндик 57', 'latitude': 42.877347868523, 'city': 'Bishkek'}</t>
  </si>
  <si>
    <t>{'source': 'https://scontent.xx.fbcdn.net/v/t31.0-8/s720x720/10927180_1597910140440879_1038574943538359935_o.jpg?oh=80eb412dc806aa5cb7b854b8712f69cf&amp;oe=5B38FF3C', 'offset_x': 0, 'id': '1597910140440879', 'cover_id': '1597910140440879', 'offset_y': 56}</t>
  </si>
  <si>
    <t>{'source': 'https://scontent.xx.fbcdn.net/v/t1.0-9/s720x720/17190390_1322815941134161_8360664870103275236_n.png?oh=868a17532cbe2aed51d2e8f9480a8c99&amp;oe=5B0517CD', 'offset_x': 0, 'id': '1322815941134161', 'cover_id': '1322815941134161', 'offset_y': 0}</t>
  </si>
  <si>
    <t>prezidentskypalac</t>
  </si>
  <si>
    <t>Prezidentský palác</t>
  </si>
  <si>
    <t>Oficiálna stránka Kancelárie prezidenta Slovenskej republiky.</t>
  </si>
  <si>
    <t>https://www.facebook.com/prezidentskypalac/</t>
  </si>
  <si>
    <t>{'source': 'https://scontent.xx.fbcdn.net/v/t31.0-8/s720x720/13221125_709635372472396_7679578088100455539_o.jpg?oh=5966816afac27690ab0c268b75584c88&amp;oe=5B3A7B75', 'offset_x': 0, 'id': '709635372472396', 'cover_id': '709635372472396', 'offset_y': 25}</t>
  </si>
  <si>
    <t>Kancelária prezidenta SR je právnickou osobou, ktorá zabezpečuje veci spojené s výkonom funkcie prezidenta SR. Sídlom kancelárie je Bratislava, Hodžovo nám. 1, PSČ 811 06. Okrem toho má kancelária prezidenta pracoviská zriadené v Banskej Bystrici a Košiciach.</t>
  </si>
  <si>
    <t>{'zip': 'HT-6110', 'longitude': -72.3779296875, 'country': 'Haiti', 'street': '33, Boulevard Harry Truman', 'latitude': 18.646245142671, 'city': 'Ville de Port-au-Prince'}</t>
  </si>
  <si>
    <t>{'source': 'https://scontent.xx.fbcdn.net/v/t1.0-9/s720x720/29102123_1630364940384829_2664699776041222144_o.jpg?_nc_cat=0&amp;oh=5ab7dfe1e79689a38162224b3e360758&amp;oe=5B32D045', 'offset_x': 0, 'id': '1630364933718163', 'cover_id': '1630364933718163', 'offset_y': 49}</t>
  </si>
  <si>
    <t>{'city': 'Antananarivo 101', 'zip': 'BP 248', 'street': "Palais d'Etat de Mahazoarivo"}</t>
  </si>
  <si>
    <t>{'source': 'https://scontent.xx.fbcdn.net/v/t1.0-9/s720x720/27858075_1657861670966587_6827869227034353830_n.jpg?oh=f7eb553ee63a3087e5f7824f40a4a936&amp;oe=5B4ADCED', 'offset_x': 0, 'id': '1657861670966587', 'cover_id': '1657861670966587', 'offset_y': 3}</t>
  </si>
  <si>
    <t>{'source': 'https://scontent.xx.fbcdn.net/v/t31.0-8/s720x720/1801215_363890817082498_2055449049_o.jpg?oh=95c9381547f452e1e3afcbbd7fb0abd2&amp;oe=5B36E248', 'offset_x': 0, 'id': '363890817082498', 'cover_id': '363890817082498', 'offset_y': 100}</t>
  </si>
  <si>
    <t>{'zip': '00000', 'longitude': 15.27358956, 'country': 'Democratic Republic of the Congo', 'street': '5, Avenue Roi Baudouin, Gombe', 'latitude': -4.31120461, 'city': 'Kinshasa'}</t>
  </si>
  <si>
    <t>{'source': 'https://scontent.xx.fbcdn.net/v/t1.0-9/s720x720/17264374_1468455666511854_6817643477860305502_n.jpg?oh=c1de928d306b72ac8ce29d2ecfaded4d&amp;oe=5B3C0478', 'offset_x': 1200, 'id': '1468455666511854', 'cover_id': '1468455666511854', 'offset_y': 0}</t>
  </si>
  <si>
    <t>{'city': 'Tselinograd', 'zip': '010000', 'country': 'Kazakhstan', 'street': 'Ukimet Uyi'}</t>
  </si>
  <si>
    <t>{'source': 'https://scontent.xx.fbcdn.net/v/t31.0-8/s720x720/17855215_600479013481942_6857602501131329743_o.png?oh=3eda31c55f45d9036435a5415521231e&amp;oe=5B3D912E', 'offset_x': 0, 'id': '600479013481942', 'cover_id': '600479013481942', 'offset_y': 0}</t>
  </si>
  <si>
    <t>[{'id': '147714868971098', 'name': 'Public &amp; Government Service'}, {'id': '2233', 'name': 'Media/News Company'}, {'id': '2706', 'name': 'Government Website'}]</t>
  </si>
  <si>
    <t>{'zip': '010000', 'longitude': 71.44065, 'country': 'Kazakhstan', 'street': 'Үкімет үйі, Орынбор 6', 'latitude': 51.12547, 'city': 'Astana'}</t>
  </si>
  <si>
    <t>{'source': 'https://scontent.xx.fbcdn.net/v/t31.0-8/s720x720/14608664_1301208889897979_1116467765456314725_o.png?oh=3e6ecdfa24d9ad51c245f117ae90251b&amp;oe=5B31174C', 'offset_x': 0, 'id': '1301208889897979', 'cover_id': '1301208889897979', 'offset_y': 0}</t>
  </si>
  <si>
    <t>[{'id': '2233', 'name': 'Media/News Company'}, {'id': '2706', 'name': 'Government Website'}, {'id': '147714868971098', 'name': 'Public &amp; Government Service'}]</t>
  </si>
  <si>
    <t>{'zip': '010000', 'longitude': 71.44065, 'country': 'Kazakhstan', 'street': '6 Orynbor Str, Үкімет үйі', 'latitude': 51.12547, 'city': 'Astana', 'located_in': '1598896617084604'}</t>
  </si>
  <si>
    <t>{'source': 'https://scontent.xx.fbcdn.net/v/t31.0-8/s720x720/14525180_2005143523045264_6282310804559700832_o.png?oh=b7a06eb39a6a23ef14caedf7c73ed436&amp;oe=5B383908', 'offset_x': 0, 'id': '2005143523045264', 'cover_id': '2005143523045264', 'offset_y': 0}</t>
  </si>
  <si>
    <t>{'zip': '30107', 'longitude': 127.26699829102, 'street': '세종특별자치시 다솜로 261(어진동) 정부세종청사 국무조정실·국무총리비서실', 'latitude': 36.478723811625}</t>
  </si>
  <si>
    <t>{'source': 'https://scontent.xx.fbcdn.net/v/t1.0-9/s720x720/28379173_2349714095054282_1688819283078353169_n.png?oh=cc2f06955900e44c585bdcb69674757b&amp;oe=5B300CCA', 'offset_x': 450, 'id': '2349714095054282', 'cover_id': '2349714095054282', 'offset_y': 0}</t>
  </si>
  <si>
    <t>{'source': 'https://scontent.xx.fbcdn.net/v/t1.0-9/s720x720/17190592_1576019035749535_5674190386172535225_n.jpg?oh=a0decfce98f94cdd8f6571aa175612f3&amp;oe=5B418232', 'offset_x': 600, 'id': '1576019035749535', 'cover_id': '1576019035749535', 'offset_y': 0}</t>
  </si>
  <si>
    <t>{'source': 'https://scontent.xx.fbcdn.net/v/t31.0-8/s720x720/12957671_1175843129106116_2893254235562407151_o.jpg?oh=aec9216f4ef1778d3f93e58126fb10cd&amp;oe=5B309CF7', 'offset_x': 0, 'id': '1175843129106116', 'cover_id': '1175843129106116', 'offset_y': 0}</t>
  </si>
  <si>
    <t>{'source': 'https://scontent.xx.fbcdn.net/v/t31.0-8/s720x720/13227325_10153441105800826_7371835391490771640_o.jpg?oh=7e46c377e1b0275490857de522762bcd&amp;oe=5B43C6AA', 'offset_x': 0, 'id': '10153441105800826', 'cover_id': '10153441105800826', 'offset_y': 0}</t>
  </si>
  <si>
    <t>{'source': 'https://scontent.xx.fbcdn.net/v/t31.0-0/p180x540/10847688_1531737290426237_4033425215713973659_o.jpg?oh=e6452cd3b04876ba4773846c20a1632c&amp;oe=5B2E7563', 'offset_x': 0, 'id': '1531737290426237', 'cover_id': '1531737290426237', 'offset_y': 48}</t>
  </si>
  <si>
    <t>RaimondsVejonis</t>
  </si>
  <si>
    <t>Latvijas Valsts prezidenta Raimonda Vējoņa oficiālā Facebook lapa / The official Facebook page of the President of Latvia Raimonds Vējonis</t>
  </si>
  <si>
    <t>https://www.facebook.com/RaimondsVejonis/</t>
  </si>
  <si>
    <t>{'city': 'Riga', 'country': 'Latvia', 'street': 'Pils laukums 3'}</t>
  </si>
  <si>
    <t>{'source': 'https://scontent.xx.fbcdn.net/v/t31.0-8/s720x720/17854869_1846418368941218_7214187605489904546_o.jpg?oh=4db3519f4b16988ead5f1ee7b1988bcc&amp;oe=5B4DC36C', 'offset_x': 0, 'id': '1846418368941218', 'cover_id': '1846418368941218', 'offset_y': 74}</t>
  </si>
  <si>
    <t>Raimonds Vējonis ir latviešu biologs un politiķis, kopš 2015.gada 8.jūlija Latvijas Valsts prezidents. Pirms tam bijis Latvijas aizsardzības ministrs, gandrīz deviņus gadus – vides aizsardzības un reģionālās attīstības ministrs, kā arī Saeimas deputāts. 
Dzimis 1966.gada 15.jūnijā Pleskavas apgabalā, Krievijā, taču uzaudzis Madonas rajona Sarkaņu pagastā. 
Izglītība
Pēc Madonas 1.vidusskolas absolvēšanas Raimonds Vējonis uzsāka studijas Latvijas Universitātes (LU) Bioloģijas fakultātē, iegūstot biologa, bioloģijas un ķīmijas skolotāja izglītību. Viņa diplomdarba tēma bija floras aizsardzība Madonas rajonā. 
 Jau studiju gados Raimonds Vējonis sāka strādāt par bioloģijas skolotāju nesen absolvētajā Madonas 1.vidusskolā.
1993.gadā viņš turpināja izglītību Somijas Tamperes Tehniskās universitātes Vides un ūdens inženieru institūtā ūdens un vides pārvaldības jomā. Savukārt 1995.gadā Raimonds Vējonis kļuva par maģistru bioloģijā, aizstāvot maģistra darbu “Kaņepēnu ezera apsaimniekošanas plāns”.
Raimonds Vējonis ir atklājis, ka pievērsties bioloģijai viņu pamudinājusi Madonas 1.vidusskolas bioloģijas skolotāja Daila Semberga, pamatskolas laikā aicinot piedalīties mācību olimpiādēs. 
Interesi par vides aizsardzību veicinājis vectēva liktenis, kurš padomju laikā strādājis kolhozā “Stars” par traktoristu. Lauku miglošanā izmantoto ķimikāliju dēļ vectēvs zaudēja redzi, vēl esot spēka gados. Tāpat būtisks bijis arī aspekts, ka bērnības lauku māju zeme kolhozu veidošanas laikā tika meliorēta, izmainot ierasto un patīkamo vidi.
Karjera vides jomā
Pēc pirmās augstākās izglītības iegūšanas Raimonds Vējonis kļuva par Madonas reģionālās vides pārvaldes direktora vietnieku, gūstot iespēju strādāt, lai izveidotu un attīstītu jaunu institūciju. Paralēli tam viņš bija arī Madonas pilsētas domes deputāts no 1990. līdz 1993.gadam. 1990.gadā iestājās Latvijas Zaļajā partijā, jo līdz ar Atmodas atnākšanu bija iesaistījies dažādās vides aizsardzības aktivitātēs.
1996.gadā Raimonds Vējonis kļuva par jaunizveidotās Lielrīgas reģionālās vides pārvaldes direktoru. Šajā iestādē toreiz tika apvienotas līdzšinējās Rīgas un Ogres pārvaldes, klāt nākot arī jauniem pienākumiem, piemēram, iesaistīšanās teritoriālās plānošanas procesā un Daugavas baseina ekoloģisko problēmu risināšanā. 
Stājoties šajā amatā, Raimonds Vējonis uzsvēra, ka turpmāk vides aizsardzības inspektoriem tiks izvirzītas vēl stingrākas prasības un viņiem būs jābūt bargiem un nepiekāpīgiem pret dabas piesārņotājiem un postītājiem. 
Pēc 8.Saeimas vēlēšanām 2002.gadā Raimonda Vējoņa karjeras ceļš turpinājās vides ministra amatā, kuru viņš ieņēma deviņus gadus pēc kārtas. Vides ministra amatā veikts nozīmīgs darbs valsts vides politikas sakārtošanā, tostarp panākot īpaši aizsargājamo dabas teritoriju tīkla “NATURA 2000” izveidošanu Latvijā, strādājot pie Ģenētiski modificēto organismu aprites likuma, kas nosaka iespēju pašvaldībām aizliegt ģenētiski modificētu kultūraugu audzēšanu to administratīvajā teritorijā. Tāpat Raimonds Vējonis bijis projekta “Lielā Talka” atbalstītājs un piedalījās citos vides projektos.
Ministra karjerā Raimonds Vējonis aktīvi iestājās par vides saudzēšanu. Piemēram, 2005.gadā viņš iebilda pret Lietuvas radioaktīvo atkritumu glabātavas celtniecību pierobežā. Vēlāk Raimonds Vējonis uzsvēra, ka viņa vadītā ministrija neatbalsta Latvijas iesaistīšanos jaunas atomelektrostacijas celtniecībā Ignalinā, norādot, ka miljardus, kas Latvijai būtu jāiegulda jaunas AES celtniecībā un tās darbības nodrošināšanā, lietderīgāk ieguldīt vietējo un īpaši alternatīvo energoresursu ieguves veidu attīstībā – sākot ar ūdens un vēja enerģijas un beidzot ar biomasas izmantošanu enerģijas ražošanā. 
Aizsardzības ministra amats un Saeima
Pagrieziens Raimonda Vējoņa karjerā notika 2014.gadā, viņam kļūstot par Latvijas aizsardzības ministru. 
Viņš savā darbā kā prioritātes izvirzīja Latvijas aizsardzības spēju stiprināšanu NATO ietvaros. Viņa vadībā konsekventi tika turpināta Nacionālo bruņoto spēku ilgtermiņa attīstības plāna ieviešana un sadarbības stiprināšana ar NATO partneriem. Aktīvi aizstāvot tādu nepieciešamību, Raimonds Vējonis panāca plāna par aizsardzības budžeta pakāpenisku palielināšanu līdz 2% apmēram no IKP apstiprināšanu, savukārt Ministru kabinets apstiprināja jau praktiskos pasākumus, lai veicinātu Latvijas pašaizsardzības spējas. 
Raimonds Vējonis savas politiskās karjeras laikā ir ievēlēts 9., 10. un 11.Saeimā. 11.Saeimas laikā viņš darbojās ārpolitikas un nacionālās attīstības jomās – viņš ir bijis Baltijas Asamblejas prezidents un viceprezidents, Baltijas jūras Parlamentārās konferences viceprezidents, kā arī vadījis Saeimas Ārlietu komisijas Baltijas lietu apakškomisiju un Baltijas Asamblejas Latvijas delegāciju. Raimonds Vējonis ir bijis arī Saeimas Nacionālās drošības komisijas, Valsts pārvaldes un pašvaldības komisijas, kā arī Valsts prezidenta Stratēģiskās attīstības komisijas loceklis. Tāpat viņš ir vadījis arī Nacionālā attīstības plāna izstrādes un ieviešanas uzraudzības apakškomisiju. 
Valsts prezidents
2015.gada 8.jūlijā Raimonds Vējonis oficiāli stājās Latvijas Valsts prezidenta amatā. Saeima Raimondu Vējoni Valsts prezidenta amatā ievēlēja 3.jūnijā piektajā balsojumā, kurā viņa kandidatūru atbalstīja 55 deputāti. 
Stājoties amatā, Raimonds Vējonis uzsvēra, ka viena no viņa galvenajām darbības prioritātēm būs valsts drošība. Tas ietver arī drošību starptautiskajā jomā, uzsverot, ka Latvijai ir jāspēj kopā ar NATO sabiedrotajiem sevi aizsargāt. Tāpat Raimonds Vējonis apņēmās veicināt visu Latvijā dzīvojošo tautu mierīgu sadzīvošanu, lai nepieļautu sociāla rakstura nemierus. 
Nozīmīga viņa darbības prioritāte ir sociālās stabilitātes veicināšana, nodrošinot atbilstošus sociālekonomiskos apstākļus – īpaši veicinot uzņēmējdarbību, lai Latvijā cilvēki vēlētos dzīvot un strādāt. Valsts prezidents paudis arī apņēmību aktīvi sadarboties ar uzņēmējiem, savu pilnvaru robežās palīdzot uzņēmējiem būtisku jautājumu risināšanā, kā arī veicinot viņu saražotā eksportu. 
Valsts prezidents Raimonds Vējonis piekritis kļūt par Latvijas simtgades svētku patronu un uzņēmies vadīt augstākā līmeņa domapmaiņas grupu – Simtgades padomi. Viņš uzsvēra nepieciešamību šajos svētkos iesaistīt gan Latvijas iedzīvotājus, gan tautiešus ārvalstīs. Svētki jāizmanto arī kā iespēja visai pasaulei atgādināt par mūsu valsti un tautu.
Viņš atzīmēja, ka Latvijas ilgtermiņa attīstībai būtiska ir nepieciešamība risināt ar Latvijas demogrāfiju saistītās problēmas, norādot, ka ir jārūpējas, lai šeit būtu, kas dzīvo. 
Raimonds Vējonis savas prezidentūras laikā apņēmies veicināt arī jaunsardzes kustības attīstību, izceļot tās nozīmīgo lomu nākamo Latvijas aizstāvju veidošanā. Savukārt, paužot pārliecību, ka izglītība ir pamats, uz kura jāceļ stipra Latvija, Valsts prezidents Raimonds Vējonis kļuvis par izglītības programmas “Iespējamā misija” patronu. Tāpat viņš uzņēmies patronāžu Latvijas Investīciju un attīstības aģentūras rīkotajam konkursam Eksporta un inovāciju balva, Latvijas Nacionālajai operai un baletam, vides kvalitātes zīmei “Zaļais sertifikāts”, projektam “homo ecos:”, “Dabas koncertzālei” un citām sabiedrisko nozīmīgām iniciatīvām.
Raimonds Vējonis ir pirmais “zaļais” prezidents Eiropā. Tādēļ arī vides un klimatu pārmaiņu jautājums ir viena no viņa dienaskārtības prioritātēm. 
Ģimene un vaļasprieki
Raimonda Vējoņa dzīvesbiedre ir Iveta Vējone, ar kuru viņš iepazinās skolas gados, vidusskolā mācoties vienā klasē. 1986.gadā Iveta un Raimonds Vējoņi nodibināja ģimeni, kurā ir uzauguši divi dēli – Ivo un Nauris.
Raimonds Vējonis, sākot pildīt Valsts prezidenta pienākumus, kopā ar ģimeni noliek ziedus pie Brīvības pieminekļa. Foto: Valsts prezidenta kanceleja
Brīvajā laikā Raimonds Vējonis aizraujas ar dažādiem sporta veidiem. Jaunībā trenējies vieglatlētikā – augstlēkšanā, tāllēkšanā un 100 metru sprintā. Šobrīd Raimonds Vējonis ir aktīvs basketbolā un ir basketbola komandas “Ogres Milži” spēlētājs, nodarbojas arī ar volejbolu un niršanu. Kopā ar dzīvesbiedri regulāri dodas ceļojumos, kā arī nodarbojas ar dārza iekopšanu un puķu audzēšanu. 
Valsts prezidenta lauku mājā dzīvo vairāki mājdzīvnieki – vācu aitu suns Rimini un trīs kaķi – Mince, Princis un Maksis.</t>
  </si>
  <si>
    <t>Pils laukums 3, Riga, Latvia</t>
  </si>
  <si>
    <t>{'city': 'Port-Vila', 'zip': 'NA', 'country': 'Vanuatu', 'street': 'BP1189'}</t>
  </si>
  <si>
    <t>{'source': 'https://scontent.xx.fbcdn.net/v/t31.0-8/s720x720/12493639_1031760780219807_3707985455450317258_o.jpg?oh=00333c9caf475aa5203cde23334061d0&amp;oe=5B34FBC3', 'offset_x': 0, 'id': '1031760780219807', 'cover_id': '1031760780219807', 'offset_y': 0}</t>
  </si>
  <si>
    <t>{'city': 'Pristina', 'zip': '10000', 'country': 'Kosovo', 'street': 'Bulevardi "Dëshmorët e Kombit" p.n.'}</t>
  </si>
  <si>
    <t>{'source': 'https://scontent.xx.fbcdn.net/v/t1.0-9/21730946_639992602791824_2792218520304087388_n.jpg?oh=f6ff85551cda3c2376edec274de17c3f&amp;oe=5B4C8D27', 'offset_x': 0, 'id': '639992602791824', 'cover_id': '639992602791824', 'offset_y': 0}</t>
  </si>
  <si>
    <t>{'source': 'https://scontent.xx.fbcdn.net/v/t1.0-9/s720x720/28167409_1249326075166896_4830612902954757142_n.jpg?oh=80622a8c133d8192fd8d347436235ffb&amp;oe=5B3AC83A', 'offset_x': 0, 'id': '1249326075166896', 'cover_id': '1249326075166896', 'offset_y': 42}</t>
  </si>
  <si>
    <t>{'source': 'https://scontent.xx.fbcdn.net/v/t1.0-0/p180x540/29177595_1013786402092652_7792965506445385297_n.jpg?oh=5d09c565af2a8fc7a11f88eec17df3c4&amp;oe=5B47CA5E', 'offset_x': 0, 'id': '1013786402092652', 'cover_id': '1013786402092652', 'offset_y': 56}</t>
  </si>
  <si>
    <t>{'city': 'Battaramulla', 'zip': '10120', 'country': 'Sri Lanka', 'street': '1291/6, Rajamalwatte Road'}</t>
  </si>
  <si>
    <t>{'source': 'https://scontent.xx.fbcdn.net/v/t31.0-8/q85/s720x720/27500693_976800625801178_7856500424340002390_o.jpg?oh=c8b5f1daccc0ebfdacdbf292921fc346&amp;oe=5B398BAA', 'offset_x': 600, 'id': '976800625801178', 'cover_id': '976800625801178', 'offset_y': 0}</t>
  </si>
  <si>
    <t>{'source': 'https://scontent.xx.fbcdn.net/v/t31.0-8/s720x720/28234984_880120532174569_3783481810649145222_o.jpg?oh=c918cfb1040c8dc52d11adf80cbb0a28&amp;oe=5B3B20B2', 'offset_x': 0, 'id': '880120532174569', 'cover_id': '880120532174569', 'offset_y': 28}</t>
  </si>
  <si>
    <t>{'source': 'https://scontent.xx.fbcdn.net/v/t1.0-0/p240x240/20108297_10155000749258577_5925591237561206268_n.jpg?oh=27c5739259c8ca868b48a2cf05259adf&amp;oe=5B4DCCD2', 'offset_x': 255, 'id': '10155000749258577', 'cover_id': '10155000749258577', 'offset_y': 0}</t>
  </si>
  <si>
    <t>{'zip': '9490', 'longitude': 9.52276, 'country': 'Liechtenstein', 'street': 'Peter-Kaiser-Platz 1', 'latitude': 47.13712, 'city': 'Vaduz'}</t>
  </si>
  <si>
    <t>{'source': 'https://scontent.xx.fbcdn.net/v/t31.0-8/s720x720/22047791_1763861723917894_2722223192543347673_o.jpg?oh=7cc74fcbbd7edb6ac3cc42f81fa8831f&amp;oe=5B3BE93C', 'offset_x': 0, 'id': '1763861723917894', 'cover_id': '1763861723917894', 'offset_y': 27}</t>
  </si>
  <si>
    <t>{'source': 'https://scontent.xx.fbcdn.net/v/t1.0-9/s720x720/25498258_10157034838123942_8033301578725792928_n.png?oh=8b8af88443de9485bca8f19457fb5d09&amp;oe=5B4BA38B', 'offset_x': 600, 'id': '10157034838123942', 'cover_id': '10157034838123942', 'offset_y': 0}</t>
  </si>
  <si>
    <t>{'source': 'https://scontent.xx.fbcdn.net/v/t1.0-9/s720x720/28783295_1823903224311027_5004928459013275541_n.png?oh=1a04e520d08db893dc098304d8989db6&amp;oe=5B4D3ACA', 'offset_x': 0, 'id': '1823903224311027', 'cover_id': '1823903224311027', 'offset_y': 0}</t>
  </si>
  <si>
    <t>{'source': 'https://scontent.xx.fbcdn.net/v/t31.0-8/s720x720/19488669_1318256134890830_6374579665206641346_o.jpg?oh=48aed04c5c61590a6d2600e8ceae2974&amp;oe=5B3363E9', 'offset_x': 550, 'id': '1318256134890830', 'cover_id': '1318256134890830', 'offset_y': 0}</t>
  </si>
  <si>
    <t>{'city': 'Port Moresby', 'longitude': 147.18404173851, 'country': 'Papua New Guinea', 'street': 'National Parliament P O Parliament House WAIGANI', 'latitude': -9.4340861790623}</t>
  </si>
  <si>
    <t>{'source': 'https://scontent.xx.fbcdn.net/v/t1.0-9/27972119_159987528055667_7549888831944836372_n.jpg?oh=647e9b65fd44d66cab2030d8c850003b&amp;oe=5B04A1C3', 'offset_x': 0, 'id': '159987528055667', 'cover_id': '159987528055667', 'offset_y': 14}</t>
  </si>
  <si>
    <t>{'source': 'https://scontent.xx.fbcdn.net/v/t1.0-9/s720x720/12314130_730900437042909_4337307178552625117_n.png?oh=7b210866b5820108c7c2a5c15d3a16d7&amp;oe=5B37F738', 'offset_x': 0, 'id': '730900437042909', 'cover_id': '730900437042909', 'offset_y': 0}</t>
  </si>
  <si>
    <t>{'source': 'https://scontent.xx.fbcdn.net/v/t1.0-9/s720x720/27540102_10159894040765425_5696262909995814702_n.jpg?oh=11685a727015cb8a7e43819f57cbb411&amp;oe=5B3A254C', 'offset_x': 0, 'id': '10159894040765425', 'cover_id': '10159894040765425', 'offset_y': 15}</t>
  </si>
  <si>
    <t>{'source': 'https://scontent.xx.fbcdn.net/v/t31.0-8/s851x315/966697_339471792845913_110570032_o.jpg?oh=d4f54a8e158ddbdcbb88fc4f5e970406&amp;oe=5B3FF7C7', 'offset_x': 0, 'id': '339471792845913', 'cover_id': '339471792845913', 'offset_y': 37}</t>
  </si>
  <si>
    <t>{'source': 'https://scontent.xx.fbcdn.net/v/t31.0-8/s720x720/26849993_1628387467196972_486808141783870467_o.jpg?oh=7dc4a41e21d26cb81d793ec4ca124132&amp;oe=5B3D8295', 'offset_x': 0, 'id': '1628387467196972', 'cover_id': '1628387467196972', 'offset_y': 29}</t>
  </si>
  <si>
    <t>{'source': 'https://scontent.xx.fbcdn.net/v/t31.0-8/s720x720/18595430_1462614523801005_4625620885440204971_o.jpg?oh=d3f2be8ecf252908efd2eef80e1f0e66&amp;oe=5B0011AD', 'offset_x': 0, 'id': '1462614523801005', 'cover_id': '1462614523801005', 'offset_y': 0}</t>
  </si>
  <si>
    <t>{'city': 'Kigali', 'zip': 'PO Box 179 KIGALI', 'country': 'Rwanda'}</t>
  </si>
  <si>
    <t>{'source': 'https://scontent.xx.fbcdn.net/v/t31.0-8/s720x720/15777095_1234633136617249_352314481198529989_o.jpg?oh=4ee14db860d7e17248c44dda01250ea0&amp;oe=5B37EF1D', 'offset_x': 0, 'id': '1234633136617249', 'cover_id': '1234633136617249', 'offset_y': 61}</t>
  </si>
  <si>
    <t>{'source': 'https://scontent.xx.fbcdn.net/v/t1.0-9/s720x720/29062620_10157174314863294_7089558737198005241_n.jpg?oh=f297b132ccb414e5217f3e96c0f60ed6&amp;oe=5B3AB7B7', 'offset_x': 0, 'id': '10157174314863294', 'cover_id': '10157174314863294', 'offset_y': 45}</t>
  </si>
  <si>
    <t>{'source': 'https://scontent.xx.fbcdn.net/v/t1.0-9/11036900_1569363566686036_1900206326280271872_n.jpg?oh=2e3aa4435bd2c59a71d283a04c0877a8&amp;oe=5B3AC214', 'offset_x': 0, 'id': '1569363566686036', 'cover_id': '1569363566686036', 'offset_y': 0}</t>
  </si>
  <si>
    <t>{'city': 'Castries', 'longitude': -61, 'country': 'St. Lucia', 'latitude': 14}</t>
  </si>
  <si>
    <t>{'source': 'https://scontent.xx.fbcdn.net/v/t31.0-8/s720x720/11850622_914237721981092_7421299903488573784_o.jpg?oh=3e34e0031d87b3b9dab71d1c560f3b4f&amp;oe=5B2D7746', 'offset_x': 0, 'id': '914237721981092', 'cover_id': '914237721981092', 'offset_y': 52}</t>
  </si>
  <si>
    <t>{'source': 'https://scontent.xx.fbcdn.net/v/t1.0-9/s720x720/1604434_517203768397227_324020894_n.jpg?oh=cb09449e159e511845643ef4b9ac8670&amp;oe=5B384404', 'offset_x': 0, 'id': '517203768397227', 'cover_id': '517203768397227', 'offset_y': 0}</t>
  </si>
  <si>
    <t>{'source': 'https://scontent.xx.fbcdn.net/v/t1.0-9/s720x720/11667376_971057842925238_4378137510277427602_n.jpg?oh=ed54c232e8ce18d1dd8bdde020377699&amp;oe=5B0472DF', 'offset_x': 0, 'id': '971057842925238', 'cover_id': '971057842925238', 'offset_y': 0}</t>
  </si>
  <si>
    <t>{'source': 'https://scontent.xx.fbcdn.net/v/t1.0-9/s720x720/29104181_1816799498371110_1666908122184155136_n.jpg?oh=08fc1d7cd3f33767557a9aee0d279327&amp;oe=5B2DDA80', 'offset_x': 600, 'id': '1816799495037777', 'cover_id': '1816799495037777', 'offset_y': 0}</t>
  </si>
  <si>
    <t>{'source': 'https://scontent.xx.fbcdn.net/v/t31.0-0/p480x480/17240333_214205725724961_9064402193007521997_o.jpg?oh=fa6caad2071c988a8fda7f71c0c6d3c5&amp;oe=5B375AB0', 'offset_x': 0, 'id': '214205725724961', 'cover_id': '214205725724961', 'offset_y': 46}</t>
  </si>
  <si>
    <t>{'source': 'https://scontent.xx.fbcdn.net/v/t31.0-0/p240x240/15167660_1255442864493519_933501296566437746_o.png?oh=e7059ba2b3a68312871343332f50e865&amp;oe=5B45A600', 'offset_x': 97, 'id': '1255442864493519', 'cover_id': '1255442864493519', 'offset_y': 0}</t>
  </si>
  <si>
    <t>{'source': 'https://scontent.xx.fbcdn.net/v/t1.0-9/s720x720/12705409_902702643161277_6151604923306529882_n.png?oh=65e3f0716a2f6ac75aaab83784d103df&amp;oe=5B3A0B41', 'offset_x': 0, 'id': '902702643161277', 'cover_id': '902702643161277', 'offset_y': 0}</t>
  </si>
  <si>
    <t>{'city': 'Riyadh', 'zip': '11112', 'located_in': '1582760698604575', 'country': 'Saudi Arabia'}</t>
  </si>
  <si>
    <t>{'source': 'https://scontent.xx.fbcdn.net/v/t31.0-0/p240x240/13987602_1195822607149209_404734490937497694_o.png?oh=03510ffea2b789aa7c89e8374461ae4d&amp;oe=5B4D1BED', 'offset_x': 123, 'id': '1195822607149209', 'cover_id': '1195822607149209', 'offset_y': 0}</t>
  </si>
  <si>
    <t>{'source': 'https://scontent.xx.fbcdn.net/v/t31.0-8/s720x720/12440611_814801888653162_3834728394806953868_o.jpg?oh=f2bcf5e1b5c11f480572bb517bdc1c43&amp;oe=5B4B0BC0', 'offset_x': 0, 'id': '814801888653162', 'cover_id': '814801888653162', 'offset_y': 0}</t>
  </si>
  <si>
    <t>{'source': 'https://scontent.xx.fbcdn.net/v/t1.0-9/s720x720/26167835_1571245689633765_2191955344771551348_n.jpg?oh=931502fca4d6e4d6dd6c79cfc2e64c74&amp;oe=5B021099', 'offset_x': 50, 'id': '1571245689633765', 'cover_id': '1571245689633765', 'offset_y': 0}</t>
  </si>
  <si>
    <t>{'zip': '504 2236-0200 / 2236-03-00', 'longitude': -87.20289, 'country': 'Honduras', 'street': 'Avenida Juan Ramón Molina, 1ra Calle, 7ma Avenida, Antiguo Edificio del Banco Central, Barrio El centro Tegucigalpa, Honduras Centroamérica', 'latitude': 14.07625, 'city': 'Tegucigalpa'}</t>
  </si>
  <si>
    <t>{'source': 'https://scontent.xx.fbcdn.net/v/t31.0-8/s720x720/16700668_784691761694603_5861733404886017358_o.jpg?oh=3120fd5b2dc1c095b06eab2746899ec8&amp;oe=5AFFB61D', 'offset_x': 0, 'id': '784691761694603', 'cover_id': '784691761694603', 'offset_y': 91}</t>
  </si>
  <si>
    <t>{'source': 'https://scontent.xx.fbcdn.net/v/t1.0-9/q83/s720x720/29063463_10156248209677220_6965984238789197824_n.jpg?oh=caa7b2b1b2da43c58181fe2823315c8a&amp;oe=5B3BF21F', 'offset_x': 0, 'id': '10156248209667220', 'cover_id': '10156248209667220', 'offset_y': 0}</t>
  </si>
  <si>
    <t>{'zip': '47890', 'longitude': 12.44553, 'country': 'San Marino', 'street': 'Contrada Omerelli, 31', 'latitude': 43.93692, 'city': 'San Marino'}</t>
  </si>
  <si>
    <t>{'source': 'https://scontent.xx.fbcdn.net/v/t31.0-8/s720x720/15896301_1335452556500940_6299544221871543520_o.jpg?oh=2ddcf09dbf2d21e1e1ffd2d7a6f1df97&amp;oe=5B4CE3D2', 'offset_x': 0, 'id': '1335452556500940', 'cover_id': '1335452556500940', 'offset_y': 50}</t>
  </si>
  <si>
    <t>{'fri_1_open': '08:15', 'tue_1_open': '08:15', 'mon_1_close': '18:00', 'mon_1_open': '08:15', 'tue_1_close': '18:00', 'wed_1_open': '08:15', 'thu_1_open': '08:15', 'wed_1_close': '18:00', 'fri_1_close': '14:15', 'thu_1_close': '18:00'}</t>
  </si>
  <si>
    <t>{'source': 'https://scontent.xx.fbcdn.net/v/t1.0-9/10897047_730852416983260_3767973933772291629_n.jpg?oh=606d6dce02624948b1e4c40dc8466bd9&amp;oe=5B4A5725', 'offset_x': 0, 'id': '730852416983260', 'cover_id': '730852416983260', 'offset_y': 24}</t>
  </si>
  <si>
    <t>{'source': 'https://scontent.xx.fbcdn.net/v/t31.0-8/s720x720/615854_292516857525593_541185760_o.jpg?oh=63334ec89683050357ece26654db851c&amp;oe=5B4A8925', 'offset_x': 0, 'id': '292516857525593', 'cover_id': '292516857525593', 'offset_y': 0}</t>
  </si>
  <si>
    <t>{'state': 'DF', 'longitude': -47.859518294, 'country': 'Brazil', 'street': 'Palácio do Planalto', 'latitude': -15.789020390442, 'city': 'Brasília', 'zip': '70150900'}</t>
  </si>
  <si>
    <t>{'source': 'https://scontent.xx.fbcdn.net/v/t31.0-8/s720x720/28423699_1620750251334156_7025081095054118259_o.jpg?oh=f6d210115820e1c1d67e7c01d02617a8&amp;oe=5B418748', 'offset_x': 0, 'id': '1620750251334156', 'cover_id': '1620750251334156', 'offset_y': 33}</t>
  </si>
  <si>
    <t>{'fri_1_open': '09:00', 'tue_1_open': '09:00', 'mon_1_close': '20:00', 'mon_1_open': '09:00', 'tue_1_close': '20:00', 'wed_1_open': '09:00', 'thu_1_open': '09:00', 'wed_1_close': '20:00', 'fri_1_close': '20:00', 'thu_1_close': '20:00'}</t>
  </si>
  <si>
    <t>{'city': 'Dhaka', 'zip': '1212', 'country': 'Bangladesh', 'street': 'House 43, Road 35/A, Gulshan, Dhaka'}</t>
  </si>
  <si>
    <t>{'source': 'https://scontent.xx.fbcdn.net/v/t1.0-9/14183810_524909591034566_5891781030848586006_n.jpg?oh=186c25197764af4866ac9eddca03072e&amp;oe=5B01C596', 'offset_x': 0, 'id': '524909591034566', 'cover_id': '524909591034566', 'offset_y': 50}</t>
  </si>
  <si>
    <t>{'source': 'https://scontent.xx.fbcdn.net/v/t31.0-8/s720x720/13920519_1631213687191616_5646622324081059558_o.jpg?oh=8f966c37b8d216342aac1d606411dec0&amp;oe=5B31BDF9', 'offset_x': 0, 'id': '1631213687191616', 'cover_id': '1631213687191616', 'offset_y': 46}</t>
  </si>
  <si>
    <t>SimonCoveney</t>
  </si>
  <si>
    <t>http://www.simoncoveney.ie</t>
  </si>
  <si>
    <t>Regular updates, Q&amp;A and news on Cork and on my work in government on your behalf.</t>
  </si>
  <si>
    <t>Simon Coveney TD was appointed Minister for Foreign Affairs &amp; Trade, with special responsibility for Brexit in May 2017.  He is also Deputy Leader of the Fine Gael party.
He previously as Minister for Housing, Planning &amp; Local Government (May 2016) launching the Rebuilding Ireland Action Plan in July 2016, with ambitious targets to tackle homelessness, accelerate social housing, build more new homes, better utilising existing housing stock and improving the rental sector.
Prior to this role, Simon Coveney served as Minister for Agriculture, Food and the Marine from March 2011. For the 6 month period to the end of June 2013 Simon chaired the EU Council of Agriculture &amp; Fisheries Ministers where he was at the forefront regarding EU efforts in respect of Common Agriculture (CAP) as well as Common Fisheries (CFP) Policy reforms. Under his chairmanship both dossiers were progressed significantly, with a reform package for CFP agreed in May 2013 and a reform package for CAP agreed at the end of the Irish Presidency in July. The Defence portfolio was added to his brief on July 11, 2014. He represents the Cork South Central constituency.
Simon was first elected to the Dáil in 1998 as one of Fine Gael’s youngest TDs and held Shadow Ministries in the areas of Drugs and Youth Affairs, Communications, Marine and Natural Resources, and Transport. Simon chaired the Fine Gael Policy Development Committee prior to the 2011 General Election.
Simon was elected to the European Parliament in 2004 and was a member of the EPP-ED group.  He was a member of the Foreign Affairs Committee and the Internal Market and Consumer Protection Committee. Simon was the author of the European Parliament’s Annual Report on Human Rights in the World for the year 2004 and again for 2006.
Simon was a member of Cork County Council and the Southern Health Board from 1999 to 2003.
Born in Cork in June 1972, Simon holds a B.Sc. in Agriculture and Land Management from The Royal Agriculture College, Gloucestershire. He was also educated at Clongowes Wood College, County Kildare; University College Cork and Gurteen Agricultural College, County Tipperary. A keen fan of all competitive sport, he played Rugby for Garryowen, Cork Constitution and Crosshaven Rugby Club. In 1997/8 he led the “Sail Chernobyl Project” which involved sailing 30,000 miles around the world for charity. He is a qualified sailing instructor and lifeguard.</t>
  </si>
  <si>
    <t>https://www.facebook.com/SimonCoveney/</t>
  </si>
  <si>
    <t>{'city': 'Carrigaline', 'country': 'Ireland'}</t>
  </si>
  <si>
    <t>{'source': 'https://scontent.xx.fbcdn.net/v/t1.0-9/23316356_1914540751894918_8524212254001043597_n.jpg?oh=a2edadecefef024f3209f54ad0a840af&amp;oe=5B460103', 'offset_x': 0, 'id': '1914540751894918', 'cover_id': '1914540751894918', 'offset_y': 20}</t>
  </si>
  <si>
    <t>Fine Gael</t>
  </si>
  <si>
    <t>021 4374200</t>
  </si>
  <si>
    <t>Carrigaline, Ireland</t>
  </si>
  <si>
    <t>[{'id': '2233', 'name': 'Media/News Company'}, {'id': '1874409019452971', 'name': 'Locality'}, {'id': '147714868971098', 'name': 'Public &amp; Government Service'}]</t>
  </si>
  <si>
    <t>{'zip': '00265', 'longitude': -62.7167, 'country': 'Saint Kitts and Nevis', 'street': 'Church Street', 'latitude': 17.3, 'city': 'Basseterre'}</t>
  </si>
  <si>
    <t>{'source': 'https://scontent.xx.fbcdn.net/v/t31.0-8/s720x720/27983211_1600819353304553_3381797197394432068_o.jpg?oh=c0dce0db33dc4305789d0f47e2e3e27f&amp;oe=5B4A0984', 'offset_x': 0, 'id': '1600819353304553', 'cover_id': '1600819353304553', 'offset_y': 55}</t>
  </si>
  <si>
    <t>{'source': 'https://scontent.xx.fbcdn.net/v/t1.0-9/s720x720/1932314_241821809330120_2005991803_n.jpg?oh=c6f5bd075df5636699794072f5046dd7&amp;oe=5B01A255', 'offset_x': 0, 'id': '241821809330120', 'cover_id': '241821809330120', 'offset_y': 0}</t>
  </si>
  <si>
    <t>{'source': 'https://scontent.xx.fbcdn.net/v/t1.0-0/p480x480/18670745_1670708076570227_3276812013471264302_n.jpg?oh=306cca3c3bcdcdc37589ad9abcf8e1ee&amp;oe=5B2FB7C0', 'offset_x': 0, 'id': '1670708076570227', 'cover_id': '1670708076570227', 'offset_y': 54}</t>
  </si>
  <si>
    <t>{'city': 'Mogadishu', 'zip': 'mogadishu', 'country': 'Somalia', 'street': 'Somalia'}</t>
  </si>
  <si>
    <t>{'source': 'https://scontent.xx.fbcdn.net/v/t31.0-8/s720x720/16835969_1733823376688637_7800216101991674040_o.jpg?oh=ef65b59d63095717c193389352813ee4&amp;oe=5B302002', 'offset_x': 0, 'id': '1733823376688637', 'cover_id': '1733823376688637', 'offset_y': 0}</t>
  </si>
  <si>
    <t>Soumeylou-Boubeye-Maiga-252932994776447</t>
  </si>
  <si>
    <t>{'source': 'https://scontent.xx.fbcdn.net/v/t1.0-9/421149_421127354623676_901750395_n.jpg?oh=4823fa7ddec2eae8ca3e81f6604b876c&amp;oe=5B44A144', 'offset_x': 0, 'id': '421127354623676', 'cover_id': '421127354623676', 'offset_y': 51}</t>
  </si>
  <si>
    <t>https://www.kantei.go.jp/</t>
  </si>
  <si>
    <t>{'source': 'https://scontent.xx.fbcdn.net/v/t31.0-8/s720x720/21640845_1153287378104353_358815563282105388_o.jpg?oh=0a245ec4f4d731faae60640ce7d7793b&amp;oe=5B383DB4', 'offset_x': 0, 'id': '1153287378104353', 'cover_id': '1153287378104353', 'offset_y': 47}</t>
  </si>
  <si>
    <t>SebastianPineraPresidente</t>
  </si>
  <si>
    <t>https://www.facebook.com/SebastianPineraPresidente/</t>
  </si>
  <si>
    <t>{'source': 'https://scontent.xx.fbcdn.net/v/t31.0-8/s720x720/26678298_1768473309871605_3269893840486086363_o.jpg?oh=b502e96a541ce9c0366c55af4556ac3d&amp;oe=5B344255', 'offset_x': 0, 'id': '1768473309871605', 'cover_id': '1768473309871605', 'offset_y': 57}</t>
  </si>
  <si>
    <t>{'source': 'https://scontent.xx.fbcdn.net/v/t1.0-9/s720x720/28959212_2016345395045756_3580835344163012608_n.jpg?oh=1cc1fafd48bdf84e0b952c4406606133&amp;oe=5B44497F', 'offset_x': 0, 'id': '2016345391712423', 'cover_id': '2016345391712423', 'offset_y': 50}</t>
  </si>
  <si>
    <t>{'source': 'https://scontent.xx.fbcdn.net/v/t31.0-0/p240x240/28161352_930811653745468_6594518919120083506_o.png?oh=2448d49db676abcf985e02df000cf5b3&amp;oe=5B4288DB', 'offset_x': 62, 'id': '930811653745468', 'cover_id': '930811653745468', 'offset_y': 0}</t>
  </si>
  <si>
    <t>{'source': 'https://scontent.xx.fbcdn.net/v/t1.0-9/s720x720/24232077_1862812847363175_2173153124635321334_n.png?oh=0611f1a4e649f36736cbad6f203d5430&amp;oe=5B4ABFAF', 'offset_x': 0, 'id': '1862812847363175', 'cover_id': '1862812847363175', 'offset_y': 0}</t>
  </si>
  <si>
    <t>{'source': 'https://scontent.xx.fbcdn.net/v/t1.0-9/13718710_1366912169990970_6826463313963866761_n.jpg?oh=05e536c446b7bc031fd4611c12deaad7&amp;oe=5B36D125', 'offset_x': -5800, 'id': '1366912169990970', 'cover_id': '1366912169990970', 'offset_y': 0}</t>
  </si>
  <si>
    <t>{'city': 'Reduit', 'longitude': 57.492485046387, 'country': 'Mauritius', 'street': 'State House,', 'latitude': -20.227167286088}</t>
  </si>
  <si>
    <t>{'source': 'https://scontent.xx.fbcdn.net/v/t1.0-9/s720x720/28685793_1822851381353188_4700289578836164608_o.jpg?oh=45b5cc185acfb6659b61c5c3d4bb7e4d&amp;oe=5B42277F', 'offset_x': 0, 'id': '1822851378019855', 'cover_id': '1822851378019855', 'offset_y': 17}</t>
  </si>
  <si>
    <t>{'city': 'Lilongwe', 'longitude': 33.78412, 'country': 'Malawi', 'street': 'Lilongwe', 'latitude': -13.91443}</t>
  </si>
  <si>
    <t>{'source': 'https://scontent.xx.fbcdn.net/v/t1.0-9/s720x720/10480146_807904822565857_4339380366402123877_n.jpg?oh=7dc00acea8c4c13150ba622d4500f96a&amp;oe=5B3F7D1B', 'offset_x': 0, 'id': '807904822565857', 'cover_id': '807904822565857', 'offset_y': 0}</t>
  </si>
  <si>
    <t>{'source': 'https://scontent.xx.fbcdn.net/v/t31.0-8/s720x720/28516104_1712524435475650_8199990792197103129_o.jpg?oh=d1c5aaefdd4c3c0870d890a0dc080b0e&amp;oe=5B40155D', 'offset_x': 0, 'id': '1712524435475650', 'cover_id': '1712524435475650', 'offset_y': 36}</t>
  </si>
  <si>
    <t>{'city': 'Victoria', 'longitude': 55.45, 'country': 'Seychelles', 'latitude': -4.61667}</t>
  </si>
  <si>
    <t>{'source': 'https://scontent.xx.fbcdn.net/v/t31.0-8/s720x720/20748222_1461094243958522_2533411155163733802_o.jpg?oh=7be57f14014a4647e7691fcc51c9b0e6&amp;oe=5B435E32', 'offset_x': 0, 'id': '1461094243958522', 'cover_id': '1461094243958522', 'offset_y': 47}</t>
  </si>
  <si>
    <t>{'zip': '256', 'longitude': 32.5836105, 'country': 'Uganda', 'street': 'P. Of. Box 25497,', 'latitude': 0.31265, 'city': 'Kampala'}</t>
  </si>
  <si>
    <t>{'source': 'https://scontent.xx.fbcdn.net/v/t1.0-0/p480x480/26814623_1699047583496175_8793527569011724701_n.jpg?oh=98f50704de4a97ad7207e6715cb6fec4&amp;oe=5B3778B9', 'offset_x': 0, 'id': '1699047583496175', 'cover_id': '1699047583496175', 'offset_y': 52}</t>
  </si>
  <si>
    <t>{'city': 'Stockholm', 'zip': '105 60', 'country': 'Sweden', 'street': 'Sveavägen 68'}</t>
  </si>
  <si>
    <t>{'source': 'https://scontent.xx.fbcdn.net/v/t31.0-8/s720x720/22791861_1913748648666020_3109500913470235301_o.jpg?oh=e4fb729f1d417f2d7fe2d2efff596189&amp;oe=5B30192A', 'offset_x': 0, 'id': '1913748648666020', 'cover_id': '1913748648666020', 'offset_y': 0}</t>
  </si>
  <si>
    <t>[{'id': '1032965636792826', 'name': 'Government Building'}, {'id': '161422927240513', 'name': 'Government Organization'}, {'id': '192049437499122', 'name': 'Residence'}]</t>
  </si>
  <si>
    <t>{'zip': '15161', 'longitude': 24.74022, 'country': 'Estonia', 'street': 'Stenbocki maja, Rahukohtu 3', 'latitude': 59.43801, 'city': 'Tallinn'}</t>
  </si>
  <si>
    <t>{'source': 'https://scontent.xx.fbcdn.net/v/t1.0-9/s720x720/29196730_10155079307796386_1630630582134243328_o.jpg?oh=3ce2d9906fe8b9cfd4c3f9937d692795&amp;oe=5B0444FB', 'offset_x': 0, 'id': '10155079307786386', 'cover_id': '10155079307786386', 'offset_y': 54}</t>
  </si>
  <si>
    <t>{'source': 'https://scontent.xx.fbcdn.net/v/t31.0-8/s720x720/10862463_581154528695851_3060114208296729217_o.jpg?oh=d3a42345ce259b07db523251b483ae5d&amp;oe=5B3CF474', 'offset_x': 0, 'id': '581154528695851', 'cover_id': '581154528695851', 'offset_y': 35}</t>
  </si>
  <si>
    <t>{'city': 'Roseau', 'longitude': -59.0625, 'country': 'Dominica', 'street': '6th Floor, Financial Center, Kennedy Avenue', 'latitude': 16.636191878398}</t>
  </si>
  <si>
    <t>{'source': 'https://scontent.xx.fbcdn.net/v/t31.0-8/s720x720/27628595_1081818745293312_5184883777789689080_o.jpg?oh=108fddb8dcd6a9d950ae227bda86acc6&amp;oe=5B406A17', 'offset_x': 0, 'id': '1081818745293312', 'cover_id': '1081818745293312', 'offset_y': 27}</t>
  </si>
  <si>
    <t>{'zip': '110011', 'longitude': 77.207635654953, 'country': 'India', 'street': '8, Safdarjung Lane', 'latitude': 28.598251820341, 'city': 'New Delhi'}</t>
  </si>
  <si>
    <t>{'source': 'https://scontent.xx.fbcdn.net/v/t1.0-9/s720x720/13445648_689131297893032_7578023077357237807_n.png?oh=863901e40852967b1d37b606ba1e107d&amp;oe=5B3C64BF', 'offset_x': 0, 'id': '689131297893032', 'cover_id': '689131297893032', 'offset_y': 0}</t>
  </si>
  <si>
    <t>[{'id': '161422927240513', 'name': 'Government Organization'}, {'id': '147714868971098', 'name': 'Public &amp; Government Service'}, {'id': '1728747447366202', 'name': 'Business Service'}]</t>
  </si>
  <si>
    <t>{'city': 'Stockholm', 'longitude': 18.06787, 'country': 'Sweden', 'street': 'Gustaf Adolfs Torg 1', 'latitude': 59.32911}</t>
  </si>
  <si>
    <t>{'source': 'https://scontent.xx.fbcdn.net/v/t31.0-0/q83/p240x240/17359012_623623534497465_499139962587350996_o.jpg?oh=2b417c69fe88bf7056bc754855280437&amp;oe=5B35EE37', 'offset_x': 0, 'id': '623623534497465', 'cover_id': '623623534497465', 'offset_y': 0}</t>
  </si>
  <si>
    <t>[{'id': '373543049350668', 'name': 'Political Organization'}, {'id': '161422927240513', 'name': 'Government Organization'}]</t>
  </si>
  <si>
    <t>{'zip': '963', 'longitude': 36.2919, 'country': 'Syria', 'street': 'في صوره النا نحنا المغاويرالبحر جنب التنور ممكن نشرها او ارسالها لنا وشكرا', 'latitude': 33.5131, 'city': 'Damascus'}</t>
  </si>
  <si>
    <t>{'source': 'https://scontent.xx.fbcdn.net/v/t1.0-0/p180x540/28951433_1814359905274500_2170998834463768576_o.jpg?oh=7a3a1a447edb49c82e4e6d6742b32239&amp;oe=5B3E0C20', 'offset_x': 0, 'id': '1814359901941167', 'cover_id': '1814359901941167', 'offset_y': 50}</t>
  </si>
  <si>
    <t>{'source': 'https://scontent.xx.fbcdn.net/v/t1.0-9/s720x720/14021562_970141033096828_6047200211659682220_n.jpg?oh=33b17d15c41dc25cdc75a920f5e9c634&amp;oe=5B037E40', 'offset_x': 600, 'id': '970141033096828', 'cover_id': '970141033096828', 'offset_y': 0}</t>
  </si>
  <si>
    <t>{'zip': '06000', 'longitude': 32.8657581135, 'country': 'Turkey', 'street': 'Cumhurbaşkanlığı Külliyesi 06560 Beştepe-Ankara', 'latitude': 39.9179688072, 'city': 'Ankara'}</t>
  </si>
  <si>
    <t>{'source': 'https://scontent.xx.fbcdn.net/v/t31.0-8/s720x720/10848893_1039701139388746_1372081759873921313_o.jpg?oh=841506c706830964afd2d6f15d3a5bed&amp;oe=5B01EBF1', 'offset_x': 0, 'id': '1039701139388746', 'cover_id': '1039701139388746', 'offset_y': 87}</t>
  </si>
  <si>
    <t>{'source': 'https://scontent.xx.fbcdn.net/v/t31.0-0/p480x480/21122339_710780785781852_1314579130362687797_o.jpg?oh=22d01b076dca5933fd0a25a1afbe802b&amp;oe=5B4850B4', 'offset_x': 0, 'id': '710780785781852', 'cover_id': '710780785781852', 'offset_y': 19}</t>
  </si>
  <si>
    <t>{'city': 'Bangkok', 'zip': '10300', 'country': 'Thailand', 'street': 'พิษณุโลก'}</t>
  </si>
  <si>
    <t>{'source': 'https://scontent.xx.fbcdn.net/v/t1.0-9/q84/s720x720/29216635_392970437835435_6413487965183410176_o.jpg?oh=eed6d780f6fbc2641bcf9c304163e13f&amp;oe=5B03581E', 'offset_x': 600, 'id': '392970431168769', 'cover_id': '392970431168769', 'offset_y': 0}</t>
  </si>
  <si>
    <t>พิษณุโลก, Bangkok, Thailand 10300</t>
  </si>
  <si>
    <t>{'zip': '10400', 'longitude': 100.5342455, 'country': 'Thailand', 'street': '9 Rama VI Road, Soi 30, Phyathai,', 'latitude': 13.7572485, 'city': 'Bangkok'}</t>
  </si>
  <si>
    <t>{'source': 'https://scontent.xx.fbcdn.net/v/t1.0-9/s720x720/29186343_1718073804882693_5815466038967402496_n.jpg?oh=a71bf85138e55d36e544c2d552c4f099&amp;oe=5B3501B1', 'offset_x': 0, 'id': '1718073801549360', 'cover_id': '1718073801549360', 'offset_y': 28}</t>
  </si>
  <si>
    <t>{'zip': '10400', 'longitude': 100.52519248839, 'country': 'Thailand', 'street': 'เขตราชเทวี', 'latitude': 13.76271767816, 'city': 'Bangkok'}</t>
  </si>
  <si>
    <t>{'source': 'https://scontent.xx.fbcdn.net/v/t31.0-8/s720x720/14352263_1335587449814593_4217992773658576129_o.jpg?oh=1aeaabb5b0cd97d8dcdb0b8b00669abc&amp;oe=5B4CAFCE', 'offset_x': 0, 'id': '1335587449814593', 'cover_id': '1335587449814593', 'offset_y': 37}</t>
  </si>
  <si>
    <t>{'city': 'Ikeja', 'longitude': -93.266342759983, 'country': 'Nigeria', 'street': 'Three Arms Zone, Central Business District', 'latitude': 45.058822765181}</t>
  </si>
  <si>
    <t>{'source': 'https://scontent.xx.fbcdn.net/v/t31.0-8/s720x720/21083487_679469608910438_2232029669207600644_o.jpg?oh=160d36939fb91629ed62de9fa5f887fc&amp;oe=5B3534E2', 'offset_x': 0, 'id': '679469608910438', 'cover_id': '679469608910438', 'offset_y': 52}</t>
  </si>
  <si>
    <t>{'source': 'https://scontent.xx.fbcdn.net/v/t31.0-8/q82/s720x720/26951881_2009421139346116_8082353917555252864_o.jpg?oh=693b3262729f71d4e0623862e2b8cdea&amp;oe=5B32779A', 'offset_x': 600, 'id': '2009421139346116', 'cover_id': '2009421139346116', 'offset_y': 0}</t>
  </si>
  <si>
    <t>{'source': 'https://scontent.xx.fbcdn.net/v/t31.0-8/s720x720/1907737_701942439827589_1737960283_o.jpg?oh=d8f4fec53fc9d2ae6ec1a8ece80150f5&amp;oe=5B3380BF', 'offset_x': 0, 'id': '701942439827589', 'cover_id': '701942439827589', 'offset_y': 14}</t>
  </si>
  <si>
    <t>{'source': 'https://scontent.xx.fbcdn.net/v/t1.0-9/s720x720/26165179_2016557721694324_2229445761571827594_n.jpg?oh=1d94e80d2c06839f32d9bee8e33e608b&amp;oe=5B36506D', 'offset_x': 0, 'id': '2016557721694324', 'cover_id': '2016557721694324', 'offset_y': 0}</t>
  </si>
  <si>
    <t>{'source': 'https://scontent.xx.fbcdn.net/v/t1.0-9/11392949_780944052004827_7700194140062788766_n.jpg?oh=6130ecd73fef5e0808b9f29b19e7e193&amp;oe=5B448758', 'offset_x': 0, 'id': '780944052004827', 'cover_id': '780944052004827', 'offset_y': 31}</t>
  </si>
  <si>
    <t>{'source': 'https://scontent.xx.fbcdn.net/v/t31.0-8/s720x720/28161415_797740663759468_2357054706888917121_o.jpg?oh=1d7041f4a4950b57674020a1a4e7fc30&amp;oe=5B3EAC55', 'offset_x': 0, 'id': '797740663759468', 'cover_id': '797740663759468', 'offset_y': 0}</t>
  </si>
  <si>
    <t>{'source': 'https://scontent.xx.fbcdn.net/v/t31.0-8/s720x720/1921022_684024485048438_6599619333127781987_o.jpg?oh=a6943d0e6c52f3e975b79eeab1df3526&amp;oe=5B454775', 'offset_x': 0, 'id': '684024485048438', 'cover_id': '684024485048438', 'offset_y': 87}</t>
  </si>
  <si>
    <t>{'city': 'Thimphu', 'zip': '1011', 'country': 'Bhutan', 'street': 'Gyalyong Tshokhang'}</t>
  </si>
  <si>
    <t>{'source': 'https://scontent.xx.fbcdn.net/v/t1.0-9/s720x720/28379445_1849435781735706_8803618746100714287_n.jpg?oh=370034e789e6bd3819c0c8bf4a7be8f3&amp;oe=5B4C9DD4', 'offset_x': 0, 'id': '1849435781735706', 'cover_id': '1849435781735706', 'offset_y': 50}</t>
  </si>
  <si>
    <t>{'longitude': 23.75244140625, 'latitude': 37.961523313966}</t>
  </si>
  <si>
    <t>{'source': 'https://scontent.xx.fbcdn.net/v/t31.0-0/q92/p240x240/23674995_10155973945298054_1084528057698338347_o.jpg?oh=86fabf7e7437a3abffbcb84f40d1db8a&amp;oe=5B3D9714', 'offset_x': 11, 'id': '10155973945298054', 'cover_id': '10155973945298054', 'offset_y': 0}</t>
  </si>
  <si>
    <t>{'source': 'https://scontent.xx.fbcdn.net/v/t31.0-0/p240x240/21587255_885699604938436_3812938432297553708_o.jpg?oh=cbaf9776288772a96893f939b76872eb&amp;oe=5B41E21C', 'offset_x': 0, 'id': '885699604938436', 'cover_id': '885699604938436', 'offset_y': 0}</t>
  </si>
  <si>
    <t>{'city': 'Ulaanbaatar', 'zip': '14210', 'country': 'Mongolia'}</t>
  </si>
  <si>
    <t>{'source': 'https://scontent.xx.fbcdn.net/v/t31.0-8/s720x720/202477_396403497079405_1275509182_o.jpg?oh=e248a39194702785f1b3433e40084d40&amp;oe=5B3B8A77', 'offset_x': 0, 'id': '396403497079405', 'cover_id': '396403497079405', 'offset_y': 69}</t>
  </si>
  <si>
    <t>{'source': 'https://scontent.xx.fbcdn.net/v/t31.0-8/s720x720/26961828_1920842964610023_4196563617179888155_o.png?oh=5dcbd550cf1612666438c9764836f2db&amp;oe=5B43CFD6', 'offset_x': 280, 'id': '1920842964610023', 'cover_id': '1920842964610023', 'offset_y': 0}</t>
  </si>
  <si>
    <t>{'city': 'Tunis', 'zip': '1030', 'country': 'Tunisia', 'street': 'Avenue de la Ligue des Etats arabes'}</t>
  </si>
  <si>
    <t>{'source': 'https://scontent.xx.fbcdn.net/v/t1.0-9/s720x720/22448345_1545617665484950_6659874521390845157_n.png?oh=b49ac7aaba7edea6bbdc38d72f913288&amp;oe=5B402F82', 'offset_x': 0, 'id': '1545617665484950', 'cover_id': '1545617665484950', 'offset_y': 0}</t>
  </si>
  <si>
    <t>{'city': 'Balgat', 'longitude': 32.817130602171, 'country': 'Turkey', 'street': 'Doktor Sadık Ahmet Cd. No:8', 'latitude': 39.912929248242}</t>
  </si>
  <si>
    <t>{'source': 'https://scontent.xx.fbcdn.net/v/t31.0-8/s720x720/17016760_1561159137245934_3690525380744101868_o.jpg?oh=416fd3cde12438a6b8768522a023fa6f&amp;oe=5B41FD11', 'offset_x': 0, 'id': '1561159137245934', 'cover_id': '1561159137245934', 'offset_y': 0}</t>
  </si>
  <si>
    <t>{'source': 'https://scontent.xx.fbcdn.net/v/t1.0-9/27066810_397810840678767_2896699599192887452_n.jpg?oh=d7a87dab5fc69dc5a31290c38abe1074&amp;oe=5AFF8E34', 'offset_x': 0, 'id': '397810840678767', 'cover_id': '397810840678767', 'offset_y': 49}</t>
  </si>
  <si>
    <t>{'source': 'https://scontent.xx.fbcdn.net/v/t1.0-9/17264787_1276661562370582_787672625214809452_n.jpg?oh=e04ac3dbc763aed82ec5e9ef39fcb4eb&amp;oe=5B4642F7', 'offset_x': 0, 'id': '1276661562370582', 'cover_id': '1276661562370582', 'offset_y': 0}</t>
  </si>
  <si>
    <t>{'source': 'https://scontent.xx.fbcdn.net/v/t31.0-0/p240x240/14125078_1132136856866355_2128014797511977761_o.jpg?oh=4c5a5ca43bd52375f7f17e6080ed7d49&amp;oe=5B037556', 'offset_x': 124, 'id': '1132136856866355', 'cover_id': '1132136856866355', 'offset_y': 0}</t>
  </si>
  <si>
    <t>{'tue_1_open': '07:30', 'mon_1_close': '14:30', 'mon_1_open': '07:30', 'tue_1_close': '14:30', 'wed_1_open': '07:30', 'thu_1_open': '07:30', 'sun_1_open': '07:30', 'wed_1_close': '14:30', 'sun_1_close': '14:30', 'thu_1_close': '14:30'}</t>
  </si>
  <si>
    <t>{'zip': '1448', 'longitude': 12.5891, 'country': 'Denmark', 'street': 'Asiatisk Plads 2', 'latitude': 55.67458, 'city': 'København'}</t>
  </si>
  <si>
    <t>{'source': 'https://scontent.xx.fbcdn.net/v/t1.0-9/s720x720/19884333_1533308216692643_1866496323524380985_n.png?oh=fc4a331c0c0c5db3b6804aec8887fc2f&amp;oe=5B407E4C', 'offset_x': 0, 'id': '1533308216692643', 'cover_id': '1533308216692643', 'offset_y': 0}</t>
  </si>
  <si>
    <t>{'zip': '2665', 'longitude': 32.589623045273, 'country': 'Uganda', 'street': 'Clement Hill Road', 'latitude': 0.31929767946455, 'city': 'Kampala'}</t>
  </si>
  <si>
    <t>{'source': 'https://scontent.xx.fbcdn.net/v/t1.0-9/s720x720/27336372_944082059074853_1829330001789789213_n.jpg?oh=5c3cd4f6a7c9ee367bb41a55b83b0538&amp;oe=5B2E2DE5', 'offset_x': 0, 'id': '944082059074853', 'cover_id': '944082059074853', 'offset_y': 0}</t>
  </si>
  <si>
    <t>U-Htin-Kyaw-1097909980337498</t>
  </si>
  <si>
    <t>https://www.facebook.com/U-Htin-Kyaw-1097909980337498/</t>
  </si>
  <si>
    <t>{'source': 'https://scontent.xx.fbcdn.net/v/t1.0-9/s720x720/16602986_1097910463670783_3223389563502438855_n.jpg?oh=2dd264769ddf06c259e1280b35371056&amp;oe=5B000062', 'offset_x': 0, 'id': '1097910463670783', 'cover_id': '1097910463670783', 'offset_y': 59}</t>
  </si>
  <si>
    <t>{'source': 'https://scontent.xx.fbcdn.net/v/t1.0-9/s720x720/10922817_438591792959920_1088144658690681732_n.jpg?oh=fdfc6a31c0afcb5a8e2ebf3938bdd0ba&amp;oe=5B3C0251', 'offset_x': 0, 'id': '438591792959920', 'cover_id': '438591792959920', 'offset_y': 0}</t>
  </si>
  <si>
    <t>{'source': 'https://scontent.xx.fbcdn.net/v/t1.0-9/s720x720/28378766_155319325175835_2862225404399933167_n.jpg?oh=1f56fa45b17f035a26b9672b0e3822cf&amp;oe=5B31C7F2', 'offset_x': 0, 'id': '155319325175835', 'cover_id': '155319325175835', 'offset_y': 18}</t>
  </si>
  <si>
    <t>{'city': 'Kyiv', 'zip': '01018', 'country': 'Ukraine', 'street': '1, Mykhaylivska sqr.'}</t>
  </si>
  <si>
    <t>{'source': 'https://scontent.xx.fbcdn.net/v/t1.0-9/s720x720/29136815_1605407836179797_9103434271955091456_n.jpg?oh=6d73fd035dc6f8367aee164cea1a9681&amp;oe=5B404454', 'offset_x': 0, 'id': '1605407829513131', 'cover_id': '1605407829513131', 'offset_y': 47}</t>
  </si>
  <si>
    <t>{'source': 'https://scontent.xx.fbcdn.net/v/t1.0-9/s720x720/11951130_1155475747812780_508082793464426043_n.jpg?oh=514abb15efa8425d6ffb60e2f2040b39&amp;oe=5B055495', 'offset_x': 0, 'id': '1155475747812780', 'cover_id': '1155475747812780', 'offset_y': 0}</t>
  </si>
  <si>
    <t>ulissescorreiaesilva</t>
  </si>
  <si>
    <t>http://www.mpd.cv</t>
  </si>
  <si>
    <t>Primeiro-Ministro de Cabo Verde e Presidente do partido MpD- Movimento para a Democracia.</t>
  </si>
  <si>
    <t>https://www.facebook.com/ulissescorreiaesilva/</t>
  </si>
  <si>
    <t>{'source': 'https://scontent.xx.fbcdn.net/v/t1.0-9/s720x720/29176712_1853989487977442_6376025098222926712_n.jpg?oh=f9961a92f15243362d43c6bdc4c3dd72&amp;oe=5B467598', 'offset_x': 0, 'id': '1853989487977442', 'cover_id': '1853989487977442', 'offset_y': 0}</t>
  </si>
  <si>
    <t>UlissesCorreiaSilva</t>
  </si>
  <si>
    <t>http://www.governo.cv</t>
  </si>
  <si>
    <t>Página oficial do Primeiro Ministro de Cabo Verde, José Ulisses Correia e Silva.
Página gerida e moderada pela Assessoria de Imprensa.</t>
  </si>
  <si>
    <t xml:space="preserve">José Ulisses Correia e Silva nasceu no dia 04 de Junho de 1962, na Cidade da Praia, Cabo Verde. Casado e pai de dois filhos. É Primeiro-Ministro de Cabo Verde desde Abril de 2016. 
É licenciado em Organização e Gestão de Empresas, desde 1988, pelo Instituto Superior de Economia da Universidade Técnica de Lisboa. Tem uma vasta experiência no sector bancário, onde desempenhou cargos importantes entre 1989 e 1994, tendo sido Director do Departamento de Administração do Banco de Cabo Verde.
Foi Secretário de Estado das Finanças, entre 1995 e 1998, e Ministro das Finanças, entre 1999 e 2000. Foi eleito Deputado Nacional e posteriormente Líder do Grupo Parlamentar do Movimento para a Democracia (MpD), função que exerceu de 2006 a 2008, ao mesmo tempo que assumia a função de Vice-Presidente do MpD. 
Foi, também, Professor na Universidade Jean Piaget na Cidade da Praia, entre 2002 e 2007, onde lecionou as disciplinas de Gestão Orçamental, Estratégia Empresarial e Economia de Empresa. Cumpriu dois mandatos como Presidente da Câmara Municipal da Praia. 
É Presidente do MpD, desde Junho de 2013, Presidente da Comissão Executiva da UCCLA, desde 2013, e Presidente da IDC - África, desde Novembro de 2014.
</t>
  </si>
  <si>
    <t>https://www.facebook.com/UlissesCorreiaSilva/</t>
  </si>
  <si>
    <t>{'city': 'Cidade da Praia', 'street': 'Palácio do Governo, Várzea'}</t>
  </si>
  <si>
    <t>{'source': 'https://scontent.xx.fbcdn.net/v/t1.0-9/28872611_1806991119340704_6274620600078041088_n.jpg?oh=50f1a8632a74a71bc8ae5f6225581b0f&amp;oe=5B38D185', 'offset_x': 0, 'id': '1806991112674038', 'cover_id': '1806991112674038', 'offset_y': 0}</t>
  </si>
  <si>
    <t>Palácio do Governo, Várzea, Cidade da Praia</t>
  </si>
  <si>
    <t>{'city': 'Helsinki', 'zip': '00023', 'country': 'Finland', 'street': 'Merikasarmi, PL 176, Valtioneuvosto'}</t>
  </si>
  <si>
    <t>{'source': 'https://scontent.xx.fbcdn.net/v/t1.0-9/s720x720/26992620_1642240249168457_7327689019136749388_n.png?oh=09521b12180345a00d240da8b312abfe&amp;oe=5B486483', 'offset_x': 0, 'id': '1642240249168457', 'cover_id': '1642240249168457', 'offset_y': 0}</t>
  </si>
  <si>
    <t>{'zip': '118 01', 'longitude': 14.41197, 'country': 'Czech Republic', 'street': 'Nábřeží Edvarda Beneše 4', 'latitude': 50.09203, 'city': 'Prague'}</t>
  </si>
  <si>
    <t>{'source': 'https://scontent.xx.fbcdn.net/v/t31.0-8/s720x720/457859_10150719460955390_354509790_o.jpg?oh=ac4bd53c079268c71d753c8f70e108b2&amp;oe=5B02E0D1', 'offset_x': 0, 'id': '10150719460955390', 'cover_id': '10150719460955390', 'offset_y': 0}</t>
  </si>
  <si>
    <t>{'zip': '10000', 'longitude': 15.96087, 'country': 'Croatia', 'street': 'Pantovčak 241', 'latitude': 45.83817, 'city': 'Zagreb'}</t>
  </si>
  <si>
    <t>{'source': 'https://scontent.xx.fbcdn.net/v/t1.0-9/429325_239792269449118_1967671438_n.jpg?oh=201ee98b707121e909fe30b023ad5903&amp;oe=5B38DF11', 'offset_x': 0, 'id': '239792269449118', 'cover_id': '239792269449118', 'offset_y': 30}</t>
  </si>
  <si>
    <t>urministerija</t>
  </si>
  <si>
    <t>https://www.facebook.com/urministerija/</t>
  </si>
  <si>
    <t>{'zip': 'LT-01511', 'longitude': 25.268175522325, 'country': 'Lithuania', 'street': 'J. Tumo-Vaižganto g. 2', 'latitude': 54.690109500717, 'city': 'Vilnius'}</t>
  </si>
  <si>
    <t>{'source': 'https://scontent.xx.fbcdn.net/v/t31.0-8/q91/s720x720/28619499_2016123285070975_3740957416265110987_o.jpg?oh=6f8e0f854659ca36046c445b1df304e6&amp;oe=5B00423B', 'offset_x': 375, 'id': '2016123285070975', 'cover_id': '2016123285070975', 'offset_y': 0}</t>
  </si>
  <si>
    <t>{'fri_1_open': '08:00', 'tue_1_open': '08:00', 'mon_1_close': '17:00', 'mon_1_open': '08:00', 'tue_1_close': '17:00', 'wed_1_open': '08:00', 'thu_1_open': '08:00', 'wed_1_close': '17:00', 'fri_1_close': '15:45', 'thu_1_close': '17:00'}</t>
  </si>
  <si>
    <t>{'source': 'https://scontent.xx.fbcdn.net/v/t31.0-8/s720x720/17097518_1882616182018578_7303808254235599772_o.png?oh=61cd204b3319f9914f85e0b0534e6fed&amp;oe=5B04B947', 'offset_x': 0, 'id': '1882616182018578', 'cover_id': '1882616182018578', 'offset_y': 0}</t>
  </si>
  <si>
    <t>{'source': 'https://scontent.xx.fbcdn.net/v/t1.0-9/s720x720/14141497_1281530718526453_2257969536607209744_n.jpg?oh=9c6658adb06e84ba6c71a9ffc2d248a4&amp;oe=5AFFBCA6', 'offset_x': 160, 'id': '1281530718526453', 'cover_id': '1281530718526453', 'offset_y': 0}</t>
  </si>
  <si>
    <t>{'source': 'https://scontent.xx.fbcdn.net/v/t31.0-8/s720x720/966646_10151506197583580_1162352907_o.jpg?oh=e4481100b310ae23f2f8ace21cc4419c&amp;oe=5B4C529B', 'offset_x': 0, 'id': '10151506197583580', 'cover_id': '10151506197583580', 'offset_y': 0}</t>
  </si>
  <si>
    <t>{'source': 'https://scontent.xx.fbcdn.net/v/t31.0-0/p240x240/16112583_1823762257911352_4649028004264295818_o.jpg?oh=473adae922023e80af5afc304e9aa367&amp;oe=5B465D97', 'offset_x': 14, 'id': '1823762257911352', 'cover_id': '1823762257911352', 'offset_y': 0}</t>
  </si>
  <si>
    <t>{'state': 'DC', 'longitude': -77.04951, 'country': 'United States', 'street': '2201 C Street NW', 'latitude': 38.89443, 'city': 'Washington', 'zip': '20520', 'located_in': '15877306073'}</t>
  </si>
  <si>
    <t>{'source': 'https://scontent.xx.fbcdn.net/v/t31.0-8/s720x720/23916471_1979690755630902_6707981734175410233_o.png?oh=7d8f6b4e705ad02df66ee0097562122c&amp;oe=5B3288C1', 'offset_x': 0, 'id': '1979690755630902', 'cover_id': '1979690755630902', 'offset_y': 45}</t>
  </si>
  <si>
    <t>{'mon_1_open': '09:00', 'fri_1_close': '17:00', 'mon_1_close': '17:00', 'fri_1_open': '09:00'}</t>
  </si>
  <si>
    <t>{'state': 'DC', 'longitude': -77.048827057055, 'country': 'United States', 'street': '2201 C St NW', 'latitude': 38.894349580666, 'city': 'Washington', 'zip': '20520'}</t>
  </si>
  <si>
    <t>{'source': 'https://scontent.xx.fbcdn.net/v/t1.0-9/s720x720/16003116_10154208458231074_4443114998999143570_n.jpg?oh=800a2992834e5c2db81498fbd1a916ce&amp;oe=5B48A450', 'offset_x': 50, 'id': '10154208458231074', 'cover_id': '10154208458231074', 'offset_y': 0}</t>
  </si>
  <si>
    <t>{'zip': '105', 'longitude': -21.91385, 'country': 'Iceland', 'street': 'Rauðarárstígur 25', 'latitude': 64.14202, 'city': 'Reykjavík'}</t>
  </si>
  <si>
    <t>{'source': 'https://scontent.xx.fbcdn.net/v/t1.0-9/s720x720/27458935_1707946442561949_3449972775415136278_n.png?oh=beedb1768050a65c963c251f74e30c23&amp;oe=5B3E40F9', 'offset_x': 0, 'id': '1707946442561949', 'cover_id': '1707946442561949', 'offset_y': 45}</t>
  </si>
  <si>
    <t>{'source': 'https://scontent.xx.fbcdn.net/v/t31.0-0/p526x395/16178618_10154838375348847_8059055271778824570_o.jpg?oh=c0d72bd3f8fb27f0c600424357772905&amp;oe=5B38BBDE', 'offset_x': 0, 'id': '10154838375348847', 'cover_id': '10154838375348847', 'offset_y': 45}</t>
  </si>
  <si>
    <t>{'fri_1_open': '09:00', 'tue_1_open': '09:00', 'mon_1_close': '16:00', 'mon_1_open': '09:00', 'tue_1_close': '16:00', 'wed_1_open': '09:00', 'thu_1_open': '09:00', 'wed_1_close': '16:00', 'fri_1_close': '16:00', 'thu_1_close': '16:00'}</t>
  </si>
  <si>
    <t>{'zip': '1050', 'longitude': 24.11774, 'country': 'Latvia', 'street': 'Brīvības bulvāris 36', 'latitude': 56.95363, 'city': 'Riga'}</t>
  </si>
  <si>
    <t>{'source': 'https://scontent.xx.fbcdn.net/v/t1.0-9/s720x720/27336644_2116997135196075_7542565641399073343_n.jpg?oh=6b11e7240665844908ecc8bd1a327584&amp;oe=5B3C711B', 'offset_x': 0, 'id': '2116997135196075', 'cover_id': '2116997135196075', 'offset_y': 0}</t>
  </si>
  <si>
    <t>{'zip': '15049', 'longitude': 24.75393, 'country': 'Estonia', 'street': 'Islandi väljak 1', 'latitude': 59.43262, 'city': 'Tallinn'}</t>
  </si>
  <si>
    <t>{'source': 'https://scontent.xx.fbcdn.net/v/t31.0-8/q81/s720x720/28235399_10157794222771980_2804837710853705237_o.jpg?oh=71daf992c99de96f08510d4136fc2101&amp;oe=5B4411BE', 'offset_x': 0, 'id': '10157794222771980', 'cover_id': '10157794222771980', 'offset_y': 0}</t>
  </si>
  <si>
    <t>{'source': 'https://scontent.xx.fbcdn.net/v/t31.0-8/s720x720/18623386_1677049515936034_3414398610272627110_o.jpg?oh=440cfe413883cdcdcbc39f4cd97e7199&amp;oe=5B46724C', 'offset_x': 0, 'id': '1677049515936034', 'cover_id': '1677049515936034', 'offset_y': 7}</t>
  </si>
  <si>
    <t>{'source': 'https://scontent.xx.fbcdn.net/v/t1.0-9/s720x720/28958548_1678439488878323_200974926689890272_n.jpg?oh=92e7a5695b3cd727a8fcff91c2272edb&amp;oe=5B046C4B', 'offset_x': -57, 'id': '1678439488878323', 'cover_id': '1678439488878323', 'offset_y': 0}</t>
  </si>
  <si>
    <t>{'source': 'https://scontent.xx.fbcdn.net/v/t1.0-9/s720x720/21314827_1926229827636135_2394943382752196784_n.jpg?oh=fdcf92c95406152d65982f5ffcda268e&amp;oe=5B2DE217', 'offset_x': 0, 'id': '1926229827636135', 'cover_id': '1926229827636135', 'offset_y': 25}</t>
  </si>
  <si>
    <t>{'source': 'https://scontent.xx.fbcdn.net/v/t1.0-9/s720x720/12718221_995523293873868_2407002234747834691_n.png?oh=977e6d6a70195598e20bbde124d91bd1&amp;oe=5B3C36DE', 'offset_x': 0, 'id': '995523293873868', 'cover_id': '995523293873868', 'offset_y': 0}</t>
  </si>
  <si>
    <t>{'source': 'https://scontent.xx.fbcdn.net/v/t1.0-9/26804822_10155173754287727_8425432891038618655_n.jpg?oh=a68522065b2186ac812c0eaa631a2da6&amp;oe=5B384449', 'offset_x': 0, 'id': '10155173754287727', 'cover_id': '10155173754287727', 'offset_y': 35}</t>
  </si>
  <si>
    <t>{'city': 'Mogadishu', 'zip': '450', 'country': 'Somalia', 'street': '1 Presidential Palace'}</t>
  </si>
  <si>
    <t>{'source': 'https://scontent.xx.fbcdn.net/v/t31.0-8/s720x720/20819246_1442341735850300_719123735425411617_o.jpg?oh=dba5247b5fa0235cbe128b0a525eee58&amp;oe=5B3856DE', 'offset_x': 0, 'id': '1442341735850300', 'cover_id': '1442341735850300', 'offset_y': 35}</t>
  </si>
  <si>
    <t>{'source': 'https://scontent.xx.fbcdn.net/v/t1.0-0/p180x540/19424284_10154459781781207_5668443839456287465_n.jpg?oh=e85154c3b82f61b4753654cb5aaf85be&amp;oe=5B3386E2', 'offset_x': 0, 'id': '10154459781781207', 'cover_id': '10154459781781207', 'offset_y': 25}</t>
  </si>
  <si>
    <t>{'zip': '1000', 'longitude': 21.428661346436, 'country': 'Macedonia', 'street': 'Бул. Илинден бр. 2', 'latitude': 42.000261363978, 'city': 'Skopje'}</t>
  </si>
  <si>
    <t>{'source': 'https://scontent.xx.fbcdn.net/v/t31.0-8/s720x720/26840855_1669789586413559_5841149403778825313_o.jpg?oh=28f661d98e1cceb9eab304c0ff803e5f&amp;oe=5B02BC52', 'offset_x': 0, 'id': '1669789586413559', 'cover_id': '1669789586413559', 'offset_y': 90}</t>
  </si>
  <si>
    <t>{'zip': '11000', 'longitude': 20.4273417496, 'country': 'Serbia', 'street': 'Palata Srbije, Bulevar Mihajla Pupina 2, istocni ulaz', 'latitude': 44.8186698339, 'city': 'Belgrade', 'located_in': '103622766340855'}</t>
  </si>
  <si>
    <t>{'source': 'https://scontent.xx.fbcdn.net/v/t1.0-9/s720x720/11904691_901454859948940_8426191961565790253_n.jpg?oh=f2afbb7741e0ce3e4cce85a514136011&amp;oe=5B2EA335', 'offset_x': 1200, 'id': '901454859948940', 'cover_id': '901454859948940', 'offset_y': 0}</t>
  </si>
  <si>
    <t>{'city': 'Ljubljana', 'zip': '1000', 'country': 'Slovenia'}</t>
  </si>
  <si>
    <t>{'source': 'https://scontent.xx.fbcdn.net/v/t31.0-8/s720x720/19943002_1703926996302198_2820023195447896784_o.jpg?oh=5ebfb93102225474cfc9713dab93a9ee&amp;oe=5B4298E7', 'offset_x': 0, 'id': '1703926996302198', 'cover_id': '1703926996302198', 'offset_y': 21}</t>
  </si>
  <si>
    <t>{'source': 'https://scontent.xx.fbcdn.net/v/t1.0-9/s720x720/26907223_654383794730538_5972101901099641802_n.jpg?oh=796b65b981c5558bff4f75820f4c2b57&amp;oe=5B36941B', 'offset_x': 0, 'id': '654383794730538', 'cover_id': '654383794730538', 'offset_y': 0}</t>
  </si>
  <si>
    <t>{'source': 'https://scontent.xx.fbcdn.net/v/t1.0-0/p526x296/12140703_929429103813881_6855275134869157906_n.png?oh=2a231874aa5e96580a62f75d03ad2cc2&amp;oe=5B482E2F', 'offset_x': 0, 'id': '929429103813881', 'cover_id': '929429103813881', 'offset_y': 0}</t>
  </si>
  <si>
    <t>{'source': 'https://scontent.xx.fbcdn.net/v/t31.0-8/s720x720/17917180_1394820703894018_3504080576736212301_o.jpg?oh=c2db56151362486ee1394fe96d876b29&amp;oe=5B3C7912', 'offset_x': 0, 'id': '1394820703894018', 'cover_id': '1394820703894018', 'offset_y': 29}</t>
  </si>
  <si>
    <t>{'state': 'DC', 'longitude': -77.036604881287, 'country': 'United States', 'street': '1600 Pennsylvania Avenue', 'latitude': 38.896844674148, 'city': 'Washington', 'zip': '20500'}</t>
  </si>
  <si>
    <t>{'source': 'https://scontent.xx.fbcdn.net/v/t31.0-8/s720x720/21951035_1440114902742905_928393577142610936_o.jpg?oh=e521fb31a3a95c608350280ea9709393&amp;oe=5B04C3F2', 'offset_x': 0, 'id': '1440114902742905', 'cover_id': '1440114902742905', 'offset_y': 63}</t>
  </si>
  <si>
    <t>{'source': 'https://scontent.xx.fbcdn.net/v/t1.0-9/19396758_2005597939466323_1974644304092435954_n.jpg?oh=7f26b35807d7f5eed08a12ef77aa99fd&amp;oe=5B372A14', 'offset_x': 0, 'id': '2005597939466323', 'cover_id': '2005597939466323', 'offset_y': 32}</t>
  </si>
  <si>
    <t>{'city': 'No 1 Jalan Wisma Putra, Presint 2', 'zip': '62602', 'street': 'Wisma Putra'}</t>
  </si>
  <si>
    <t>{'source': 'https://scontent.xx.fbcdn.net/v/t31.0-8/s720x720/12307400_926130127477985_8789750364644753905_o.jpg?oh=b12af6e167426a559b3323a457a3ca90&amp;oe=5B48594C', 'offset_x': 0, 'id': '926130127477985', 'cover_id': '926130127477985', 'offset_y': 68}</t>
  </si>
  <si>
    <t>{'source': 'https://scontent.xx.fbcdn.net/v/t31.0-8/s720x720/23467000_1643444885699895_8998631391857747775_o.jpg?oh=63cce6196f87245e4ba7cc7e267547ea&amp;oe=5B35EF3D', 'offset_x': 0, 'id': '1643444885699895', 'cover_id': '1643444885699895', 'offset_y': 47}</t>
  </si>
  <si>
    <t>{'source': 'https://scontent.xx.fbcdn.net/v/t31.0-8/s720x720/10841840_398109577032686_6948449523887328512_o.jpg?oh=7e983751d2f30536cad5e197c1865913&amp;oe=5B45A7D1', 'offset_x': 0, 'id': '398109577032686', 'cover_id': '398109577032686', 'offset_y': 8}</t>
  </si>
  <si>
    <t>{'source': 'https://scontent.xx.fbcdn.net/v/t1.0-9/s720x720/23722650_1718726938200233_5667914859684078822_n.png?oh=89cfa92baf2229e181695631d2c2bff7&amp;oe=5B046F35', 'offset_x': 50, 'id': '1718726938200233', 'cover_id': '1718726938200233', 'offset_y': 0}</t>
  </si>
  <si>
    <t>{'source': 'https://scontent.xx.fbcdn.net/v/t31.0-8/s720x720/14711047_1121492547927393_1758547286304349436_o.jpg?oh=9ca2c51fa2ee24110a31ec1281585ce3&amp;oe=5B31883D', 'offset_x': 72, 'id': '1121492547927393', 'cover_id': '1121492547927393', 'offset_y': 0}</t>
  </si>
  <si>
    <t>{'city': 'Kigali', 'zip': '-', 'country': 'Rwanda', 'street': 'Kimironko'}</t>
  </si>
  <si>
    <t>{'source': 'https://scontent.xx.fbcdn.net/v/t31.0-8/s720x720/1890402_491311474312841_784424195_o.jpg?oh=d163b43b711d4109c3d9b7ee72ecccf5&amp;oe=5B395CE0', 'offset_x': 0, 'id': '491311474312841', 'cover_id': '491311474312841', 'offset_y': 0}</t>
  </si>
  <si>
    <t>Kimironko, - Kigali, Rwanda</t>
  </si>
  <si>
    <t>{'zip': '14201', 'longitude': 82.265625, 'country': 'Mongolia', 'street': 'Government house', 'latitude': 49.837982453085, 'city': 'Ulaanbaatar'}</t>
  </si>
  <si>
    <t>{'source': 'https://scontent.xx.fbcdn.net/v/t31.0-8/s720x720/23275374_1094814417326995_801994222535928304_o.jpg?oh=870304d1a4a6417a6d3a357135aa9705&amp;oe=5B49C8DA', 'offset_x': 0, 'id': '1094814417326995', 'cover_id': '1094814417326995', 'offset_y': 68}</t>
  </si>
  <si>
    <t>{'zip': '10000', 'longitude': 15.97314, 'country': 'Croatia', 'street': 'Trg svetog Marka 2', 'latitude': 45.81645, 'city': 'Zagreb'}</t>
  </si>
  <si>
    <t>{'source': 'https://scontent.xx.fbcdn.net/v/t31.0-8/s720x720/15974937_1173572952761766_4022675840046994458_o.jpg?oh=2329fe042fefdfdd05a4d9e3b4137280&amp;oe=5B355D8F', 'offset_x': 0, 'id': '1173572952761766', 'cover_id': '1173572952761766', 'offset_y': 86}</t>
  </si>
  <si>
    <t>{'source': 'https://scontent.xx.fbcdn.net/v/t31.0-8/s720x720/23275521_10155713420796718_9015767413886754689_o.jpg?oh=7c67dc8cad91f75d3ecc2942b51e28cb&amp;oe=5B030DC6', 'offset_x': 50, 'id': '10155713420796718', 'cover_id': '10155713420796718', 'offset_y': 0}</t>
  </si>
  <si>
    <t>{'source': 'https://scontent.xx.fbcdn.net/v/t1.0-0/p480x480/12507642_565148776976441_7150397386385903277_n.jpg?oh=d3a4d5b95f07caa740c6d0106c3fed58&amp;oe=5B02E8F3', 'offset_x': 0, 'id': '565148776976441', 'cover_id': '565148776976441', 'offset_y': 50}</t>
  </si>
  <si>
    <t>{'source': 'https://scontent.xx.fbcdn.net/v/t31.0-8/s720x720/18216882_1859604547611956_1527787599160375491_o.jpg?oh=416a935d9722858bb98a148739c6e160&amp;oe=5B2FDDFD', 'offset_x': 0, 'id': '1859604547611956', 'cover_id': '1859604547611956', 'offset_y': 9}</t>
  </si>
  <si>
    <t>{'city': 'Skopje', 'zip': '1000', 'country': 'Macedonia', 'street': 'Бихаќка 8'}</t>
  </si>
  <si>
    <t>{'source': 'https://scontent.xx.fbcdn.net/v/t31.0-8/s720x720/26961569_10156215601357932_7741708455333722796_o.jpg?oh=914d1b8373268aabd50ac982934e1502&amp;oe=5B33D6E8', 'offset_x': 0, 'id': '10156215601357932', 'cover_id': '10156215601357932', 'offset_y': 7}</t>
  </si>
  <si>
    <t>http://www.facebook.com/101061966710999</t>
  </si>
  <si>
    <t>http://www.facebook.com/1097909980337498</t>
  </si>
  <si>
    <t>http://www.facebook.com/1147426305297192</t>
  </si>
  <si>
    <t>http://www.facebook.com/125367794733621</t>
  </si>
  <si>
    <t>http://www.facebook.com/136913633027025</t>
  </si>
  <si>
    <t>http://www.facebook.com/142236679137060</t>
  </si>
  <si>
    <t>http://www.facebook.com/1431909580371764</t>
  </si>
  <si>
    <t>http://www.facebook.com/144802292594796</t>
  </si>
  <si>
    <t>http://www.facebook.com/145070396007399</t>
  </si>
  <si>
    <t>http://www.facebook.com/1459341074128363</t>
  </si>
  <si>
    <t>http://www.facebook.com/160581601360797</t>
  </si>
  <si>
    <t>http://www.facebook.com/1647539918829065</t>
  </si>
  <si>
    <t>http://www.facebook.com/189258704928602</t>
  </si>
  <si>
    <t>http://www.facebook.com/193590653989945</t>
  </si>
  <si>
    <t>http://www.facebook.com/242369445939318</t>
  </si>
  <si>
    <t>http://www.facebook.com/268017413623132</t>
  </si>
  <si>
    <t>http://www.facebook.com/279601155558784</t>
  </si>
  <si>
    <t>http://www.facebook.com/377538085622597</t>
  </si>
  <si>
    <t>http://www.facebook.com/431035763934153</t>
  </si>
  <si>
    <t>http://www.facebook.com/517608345237500</t>
  </si>
  <si>
    <t>http://www.facebook.com/61258077512</t>
  </si>
  <si>
    <t>http://www.facebook.com/709633635805903</t>
  </si>
  <si>
    <t>http://www.facebook.com/784527698240817</t>
  </si>
  <si>
    <t>http://www.facebook.com/919861878132744</t>
  </si>
  <si>
    <r>
      <t>Facebook</t>
    </r>
    <r>
      <rPr>
        <sz val="12"/>
        <color rgb="FF000000"/>
        <rFont val="Calibri"/>
        <family val="2"/>
      </rPr>
      <t xml:space="preserve"> (Burson Tools data as of 15.03.2018)</t>
    </r>
  </si>
  <si>
    <r>
      <t>Facebook</t>
    </r>
    <r>
      <rPr>
        <sz val="12"/>
        <color rgb="FF000000"/>
        <rFont val="Calibri"/>
        <family val="2"/>
      </rPr>
      <t xml:space="preserve"> (Crowdtangle Data 01.01.2017-15.03.2018)</t>
    </r>
  </si>
  <si>
    <t>Automated Reply</t>
  </si>
  <si>
    <t>Foreign Minister Lindiwe Sisulu</t>
  </si>
  <si>
    <t>Twiplomacy Facebook Pages Data File 15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</si>
</sst>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2"/>
      <color rgb="FF000000"/>
      <name val="Calibri"/>
    </font>
    <font>
      <sz val="11"/>
      <color theme="1"/>
      <name val="Calibri"/>
      <family val="2"/>
      <scheme val="minor"/>
    </font>
    <font>
      <sz val="11"/>
      <color theme="1"/>
      <name val="Calibri"/>
      <family val="2"/>
      <scheme val="minor"/>
    </font>
    <font>
      <sz val="12"/>
      <name val="Calibri"/>
      <family val="2"/>
    </font>
    <font>
      <sz val="12"/>
      <color rgb="FF000000"/>
      <name val="Calibri"/>
      <family val="2"/>
    </font>
    <font>
      <b/>
      <sz val="12"/>
      <color rgb="FF000000"/>
      <name val="Calibri"/>
      <family val="2"/>
    </font>
    <font>
      <sz val="12"/>
      <color rgb="FF000000"/>
      <name val="Arial"/>
      <family val="2"/>
    </font>
    <font>
      <b/>
      <sz val="12"/>
      <color rgb="FF000000"/>
      <name val="Arial"/>
      <family val="2"/>
    </font>
    <font>
      <u/>
      <sz val="12"/>
      <color theme="11"/>
      <name val="Calibri"/>
      <family val="2"/>
    </font>
    <font>
      <u/>
      <sz val="12"/>
      <color theme="10"/>
      <name val="Calibri"/>
      <family val="2"/>
    </font>
    <font>
      <sz val="12"/>
      <color rgb="FF000000"/>
      <name val="Calibri"/>
      <family val="2"/>
    </font>
    <font>
      <sz val="12"/>
      <color theme="1"/>
      <name val="Calibri"/>
      <family val="2"/>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indexed="64"/>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 fillId="0" borderId="0"/>
    <xf numFmtId="0" fontId="1" fillId="0" borderId="0"/>
  </cellStyleXfs>
  <cellXfs count="73">
    <xf numFmtId="0" fontId="0" fillId="0" borderId="0" xfId="0" applyFont="1" applyAlignment="1"/>
    <xf numFmtId="0" fontId="10" fillId="0" borderId="1" xfId="0" applyFont="1" applyFill="1" applyBorder="1" applyAlignment="1"/>
    <xf numFmtId="0" fontId="3" fillId="0" borderId="1" xfId="0" applyFont="1" applyFill="1" applyBorder="1" applyAlignment="1">
      <alignment vertical="center"/>
    </xf>
    <xf numFmtId="0" fontId="9" fillId="0" borderId="1" xfId="5" applyFill="1" applyBorder="1"/>
    <xf numFmtId="0" fontId="9" fillId="0" borderId="1" xfId="5" applyFill="1" applyBorder="1" applyAlignment="1">
      <alignment vertical="center"/>
    </xf>
    <xf numFmtId="0" fontId="0"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left" vertical="center"/>
    </xf>
    <xf numFmtId="0" fontId="0" fillId="0" borderId="0" xfId="0" applyFont="1" applyFill="1" applyAlignment="1"/>
    <xf numFmtId="0" fontId="11" fillId="0" borderId="1" xfId="0" applyFont="1" applyFill="1" applyBorder="1" applyAlignment="1"/>
    <xf numFmtId="0" fontId="9" fillId="0" borderId="1" xfId="5" applyFill="1" applyBorder="1" applyAlignment="1"/>
    <xf numFmtId="0" fontId="4" fillId="0" borderId="1" xfId="0" applyFont="1" applyFill="1" applyBorder="1" applyAlignment="1">
      <alignment vertical="center"/>
    </xf>
    <xf numFmtId="0" fontId="0" fillId="0" borderId="1" xfId="0" applyFill="1" applyBorder="1"/>
    <xf numFmtId="0" fontId="4" fillId="0" borderId="1" xfId="0" applyFont="1" applyFill="1" applyBorder="1" applyAlignment="1"/>
    <xf numFmtId="0" fontId="4" fillId="0" borderId="1" xfId="0" applyFont="1" applyFill="1" applyBorder="1"/>
    <xf numFmtId="0" fontId="11" fillId="0" borderId="1" xfId="0" applyFont="1" applyFill="1" applyBorder="1" applyAlignment="1">
      <alignment horizontal="left" vertical="center"/>
    </xf>
    <xf numFmtId="164" fontId="4" fillId="0" borderId="1" xfId="0" applyNumberFormat="1" applyFont="1" applyFill="1" applyBorder="1" applyAlignment="1">
      <alignment vertical="center"/>
    </xf>
    <xf numFmtId="1" fontId="4" fillId="0" borderId="1" xfId="0" applyNumberFormat="1" applyFont="1" applyFill="1" applyBorder="1" applyAlignment="1"/>
    <xf numFmtId="0" fontId="4" fillId="0" borderId="1" xfId="0" applyFont="1" applyFill="1" applyBorder="1" applyAlignment="1">
      <alignment wrapText="1"/>
    </xf>
    <xf numFmtId="0" fontId="4" fillId="0" borderId="2" xfId="0" applyFont="1" applyFill="1" applyBorder="1" applyAlignment="1">
      <alignment vertical="center"/>
    </xf>
    <xf numFmtId="0" fontId="9" fillId="0" borderId="1" xfId="5" applyFill="1" applyBorder="1" applyAlignment="1">
      <alignment horizontal="left" vertical="center"/>
    </xf>
    <xf numFmtId="0" fontId="0" fillId="0" borderId="5" xfId="0" applyFill="1" applyBorder="1"/>
    <xf numFmtId="0" fontId="0" fillId="0" borderId="8" xfId="0" applyFill="1" applyBorder="1"/>
    <xf numFmtId="0" fontId="10" fillId="0" borderId="0" xfId="0" applyFont="1" applyFill="1" applyAlignment="1"/>
    <xf numFmtId="1" fontId="11" fillId="0" borderId="1" xfId="0" applyNumberFormat="1" applyFont="1" applyFill="1" applyBorder="1" applyAlignment="1"/>
    <xf numFmtId="3" fontId="0" fillId="0" borderId="1" xfId="0" applyNumberFormat="1" applyFill="1" applyBorder="1"/>
    <xf numFmtId="0" fontId="0" fillId="0" borderId="0" xfId="0" applyFont="1" applyFill="1" applyBorder="1" applyAlignment="1"/>
    <xf numFmtId="0" fontId="4" fillId="0" borderId="1" xfId="0" applyFont="1" applyFill="1" applyBorder="1" applyAlignment="1">
      <alignment horizontal="left"/>
    </xf>
    <xf numFmtId="0" fontId="0" fillId="0" borderId="2" xfId="0" applyFill="1" applyBorder="1"/>
    <xf numFmtId="0" fontId="3" fillId="0" borderId="1" xfId="0" applyFont="1" applyFill="1" applyBorder="1"/>
    <xf numFmtId="0" fontId="3" fillId="0" borderId="5" xfId="0" applyFont="1" applyFill="1" applyBorder="1" applyAlignment="1">
      <alignment vertical="center"/>
    </xf>
    <xf numFmtId="9" fontId="0" fillId="0" borderId="1" xfId="0" applyNumberFormat="1" applyFill="1" applyBorder="1"/>
    <xf numFmtId="0" fontId="9" fillId="0" borderId="5" xfId="5" applyFill="1" applyBorder="1"/>
    <xf numFmtId="10" fontId="0" fillId="0" borderId="1" xfId="0" applyNumberFormat="1" applyFill="1" applyBorder="1"/>
    <xf numFmtId="0" fontId="4" fillId="0" borderId="2" xfId="0" applyFont="1" applyFill="1" applyBorder="1" applyAlignment="1">
      <alignment horizontal="left" vertical="center"/>
    </xf>
    <xf numFmtId="0" fontId="4" fillId="0" borderId="2" xfId="0" applyFont="1" applyFill="1" applyBorder="1" applyAlignment="1"/>
    <xf numFmtId="0" fontId="3" fillId="0" borderId="2" xfId="0" applyFont="1" applyFill="1" applyBorder="1" applyAlignment="1"/>
    <xf numFmtId="0" fontId="9" fillId="0" borderId="8" xfId="5" applyFill="1" applyBorder="1"/>
    <xf numFmtId="3" fontId="0" fillId="0" borderId="0" xfId="0" applyNumberFormat="1" applyFont="1" applyFill="1" applyBorder="1" applyAlignment="1">
      <alignment vertical="center"/>
    </xf>
    <xf numFmtId="0" fontId="5" fillId="0" borderId="13" xfId="0" applyFont="1" applyFill="1" applyBorder="1" applyAlignment="1"/>
    <xf numFmtId="0" fontId="9" fillId="0" borderId="1" xfId="5" applyFill="1" applyBorder="1" applyAlignment="1">
      <alignment horizontal="left"/>
    </xf>
    <xf numFmtId="0" fontId="0" fillId="0" borderId="2" xfId="0" applyFont="1" applyFill="1" applyBorder="1"/>
    <xf numFmtId="0" fontId="3" fillId="0" borderId="8" xfId="0" applyFont="1" applyFill="1" applyBorder="1" applyAlignment="1">
      <alignment vertical="center"/>
    </xf>
    <xf numFmtId="0" fontId="4" fillId="0" borderId="8" xfId="0" applyFont="1" applyFill="1" applyBorder="1" applyAlignment="1"/>
    <xf numFmtId="0" fontId="5" fillId="0" borderId="13" xfId="0" applyFont="1" applyFill="1" applyBorder="1" applyAlignment="1">
      <alignment horizontal="left" vertical="center"/>
    </xf>
    <xf numFmtId="0" fontId="6" fillId="0" borderId="13" xfId="0" applyFont="1" applyFill="1" applyBorder="1" applyAlignment="1"/>
    <xf numFmtId="0" fontId="5" fillId="0" borderId="10" xfId="0" applyFont="1" applyFill="1" applyBorder="1" applyAlignment="1"/>
    <xf numFmtId="164" fontId="5" fillId="0" borderId="10" xfId="0" applyNumberFormat="1" applyFont="1" applyFill="1" applyBorder="1" applyAlignment="1"/>
    <xf numFmtId="0" fontId="9" fillId="0" borderId="8" xfId="5" applyFill="1" applyBorder="1" applyAlignment="1">
      <alignment vertical="center"/>
    </xf>
    <xf numFmtId="3" fontId="0" fillId="0" borderId="8" xfId="0" applyNumberFormat="1" applyFill="1" applyBorder="1"/>
    <xf numFmtId="9" fontId="0" fillId="0" borderId="8" xfId="0" applyNumberFormat="1" applyFill="1" applyBorder="1"/>
    <xf numFmtId="0" fontId="7" fillId="0" borderId="12" xfId="0" applyFont="1" applyFill="1" applyBorder="1" applyAlignment="1"/>
    <xf numFmtId="0" fontId="5" fillId="0" borderId="10" xfId="0" applyFont="1" applyFill="1" applyBorder="1" applyAlignment="1">
      <alignment horizontal="left" vertical="center"/>
    </xf>
    <xf numFmtId="0" fontId="5" fillId="0" borderId="10" xfId="0" applyFont="1" applyFill="1" applyBorder="1"/>
    <xf numFmtId="3" fontId="5" fillId="0" borderId="10" xfId="0" applyNumberFormat="1" applyFont="1" applyFill="1" applyBorder="1"/>
    <xf numFmtId="10" fontId="0" fillId="0" borderId="8" xfId="0" applyNumberFormat="1" applyFill="1" applyBorder="1"/>
    <xf numFmtId="0" fontId="0" fillId="0" borderId="17" xfId="0" applyFill="1" applyBorder="1"/>
    <xf numFmtId="10" fontId="0" fillId="0" borderId="17" xfId="0" applyNumberFormat="1" applyFill="1" applyBorder="1"/>
    <xf numFmtId="10" fontId="0" fillId="0" borderId="16" xfId="0" applyNumberFormat="1" applyFill="1" applyBorder="1"/>
    <xf numFmtId="0" fontId="0" fillId="0" borderId="16" xfId="0" applyFill="1" applyBorder="1"/>
    <xf numFmtId="0" fontId="3" fillId="0" borderId="2" xfId="0" applyFont="1" applyFill="1" applyBorder="1" applyAlignment="1">
      <alignment vertical="center"/>
    </xf>
    <xf numFmtId="3" fontId="0" fillId="0" borderId="3" xfId="0" applyNumberFormat="1" applyFill="1" applyBorder="1"/>
    <xf numFmtId="1" fontId="4" fillId="0" borderId="2" xfId="0" applyNumberFormat="1" applyFont="1" applyFill="1" applyBorder="1" applyAlignment="1"/>
    <xf numFmtId="0" fontId="4" fillId="0" borderId="2" xfId="0" applyFont="1" applyFill="1" applyBorder="1" applyAlignment="1">
      <alignment horizontal="left"/>
    </xf>
    <xf numFmtId="0" fontId="3" fillId="0" borderId="4" xfId="0" applyFont="1" applyFill="1" applyBorder="1" applyAlignment="1">
      <alignment vertical="center"/>
    </xf>
    <xf numFmtId="3" fontId="0" fillId="0" borderId="5" xfId="0" applyNumberFormat="1" applyFill="1" applyBorder="1"/>
    <xf numFmtId="9" fontId="0" fillId="0" borderId="5" xfId="0" applyNumberFormat="1" applyFill="1" applyBorder="1"/>
    <xf numFmtId="3" fontId="0" fillId="0" borderId="6" xfId="0" applyNumberFormat="1" applyFill="1" applyBorder="1"/>
    <xf numFmtId="0" fontId="3" fillId="0" borderId="7" xfId="0" applyFont="1" applyFill="1" applyBorder="1" applyAlignment="1">
      <alignment vertical="center"/>
    </xf>
    <xf numFmtId="3" fontId="0" fillId="0" borderId="9" xfId="0" applyNumberFormat="1" applyFill="1" applyBorder="1"/>
    <xf numFmtId="0" fontId="5" fillId="0" borderId="14" xfId="0" applyFont="1" applyFill="1" applyBorder="1" applyAlignment="1"/>
    <xf numFmtId="0" fontId="5" fillId="0" borderId="15" xfId="0" applyFont="1" applyFill="1" applyBorder="1" applyAlignment="1">
      <alignment vertical="center"/>
    </xf>
    <xf numFmtId="0" fontId="5" fillId="0" borderId="11" xfId="0" applyFont="1" applyFill="1" applyBorder="1" applyAlignment="1"/>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6" builtinId="9" hidden="1"/>
    <cellStyle name="Hyperlink" xfId="5" builtinId="8"/>
    <cellStyle name="Normal" xfId="0" builtinId="0"/>
    <cellStyle name="Normal 2" xfId="7"/>
    <cellStyle name="Normal 3" xfI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acebook.com/CyprusMFA" TargetMode="External"/><Relationship Id="rId671" Type="http://schemas.openxmlformats.org/officeDocument/2006/relationships/hyperlink" Target="https://facebook.com/%D8%B3%D8%A7%D9%85%D8%AD-%D8%B4%D9%83%D8%B1%D9%8A-1479684935601755" TargetMode="External"/><Relationship Id="rId769" Type="http://schemas.openxmlformats.org/officeDocument/2006/relationships/hyperlink" Target="https://facebook.com/danilomedinasanchez" TargetMode="External"/><Relationship Id="rId976" Type="http://schemas.openxmlformats.org/officeDocument/2006/relationships/hyperlink" Target="https://facebook.com/MOFANEPAL" TargetMode="External"/><Relationship Id="rId21" Type="http://schemas.openxmlformats.org/officeDocument/2006/relationships/hyperlink" Target="https://facebook.com/Saulius-Skvernelis-814777171988967" TargetMode="External"/><Relationship Id="rId324" Type="http://schemas.openxmlformats.org/officeDocument/2006/relationships/hyperlink" Target="https://facebook.com/mofakr.kr" TargetMode="External"/><Relationship Id="rId531" Type="http://schemas.openxmlformats.org/officeDocument/2006/relationships/hyperlink" Target="https://facebook.com/burkina.diplomatie" TargetMode="External"/><Relationship Id="rId629" Type="http://schemas.openxmlformats.org/officeDocument/2006/relationships/hyperlink" Target="https://facebook.com/presidentpierrenkurunziza" TargetMode="External"/><Relationship Id="rId1161" Type="http://schemas.openxmlformats.org/officeDocument/2006/relationships/hyperlink" Target="https://facebook.com/vucicaleksandar" TargetMode="External"/><Relationship Id="rId1259" Type="http://schemas.openxmlformats.org/officeDocument/2006/relationships/hyperlink" Target="https://facebook.com/MarcelAmonTanoh" TargetMode="External"/><Relationship Id="rId170" Type="http://schemas.openxmlformats.org/officeDocument/2006/relationships/hyperlink" Target="https://facebook.com/gabinetesocialparaguay" TargetMode="External"/><Relationship Id="rId836" Type="http://schemas.openxmlformats.org/officeDocument/2006/relationships/hyperlink" Target="https://facebook.com/GouvGn" TargetMode="External"/><Relationship Id="rId1021" Type="http://schemas.openxmlformats.org/officeDocument/2006/relationships/hyperlink" Target="https://facebook.com/polska" TargetMode="External"/><Relationship Id="rId1119" Type="http://schemas.openxmlformats.org/officeDocument/2006/relationships/hyperlink" Target="https://facebook.com/SyrianPresidency" TargetMode="External"/><Relationship Id="rId268" Type="http://schemas.openxmlformats.org/officeDocument/2006/relationships/hyperlink" Target="https://facebook.com/maeie.md" TargetMode="External"/><Relationship Id="rId475" Type="http://schemas.openxmlformats.org/officeDocument/2006/relationships/hyperlink" Target="https://facebook.com/ThaiMFA" TargetMode="External"/><Relationship Id="rId682" Type="http://schemas.openxmlformats.org/officeDocument/2006/relationships/hyperlink" Target="https://facebook.com/Ministry-of-Foreign-Affairs-Belize-511449525613301" TargetMode="External"/><Relationship Id="rId903" Type="http://schemas.openxmlformats.org/officeDocument/2006/relationships/hyperlink" Target="https://facebook.com/ksamofa" TargetMode="External"/><Relationship Id="rId32" Type="http://schemas.openxmlformats.org/officeDocument/2006/relationships/hyperlink" Target="https://facebook.com/Ministarstvo-vanjskih-i-europskih-poslova-506453726037312" TargetMode="External"/><Relationship Id="rId128" Type="http://schemas.openxmlformats.org/officeDocument/2006/relationships/hyperlink" Target="https://facebook.com/ditmirbushati.al" TargetMode="External"/><Relationship Id="rId335" Type="http://schemas.openxmlformats.org/officeDocument/2006/relationships/hyperlink" Target="https://facebook.com/mzv.sk" TargetMode="External"/><Relationship Id="rId542" Type="http://schemas.openxmlformats.org/officeDocument/2006/relationships/hyperlink" Target="https://facebook.com/Ilir-Meta-1477517792294489" TargetMode="External"/><Relationship Id="rId987" Type="http://schemas.openxmlformats.org/officeDocument/2006/relationships/hyperlink" Target="https://facebook.com/nakufoaddo" TargetMode="External"/><Relationship Id="rId1172" Type="http://schemas.openxmlformats.org/officeDocument/2006/relationships/hyperlink" Target="https://facebook.com/VillaSomaliaOfficial" TargetMode="External"/><Relationship Id="rId181" Type="http://schemas.openxmlformats.org/officeDocument/2006/relationships/hyperlink" Target="https://facebook.com/gobiernodechile" TargetMode="External"/><Relationship Id="rId402" Type="http://schemas.openxmlformats.org/officeDocument/2006/relationships/hyperlink" Target="https://facebook.com/president.gov.ua" TargetMode="External"/><Relationship Id="rId847" Type="http://schemas.openxmlformats.org/officeDocument/2006/relationships/hyperlink" Target="https://facebook.com/govuganda" TargetMode="External"/><Relationship Id="rId1032" Type="http://schemas.openxmlformats.org/officeDocument/2006/relationships/hyperlink" Target="https://facebook.com/presidencebenin" TargetMode="External"/><Relationship Id="rId279" Type="http://schemas.openxmlformats.org/officeDocument/2006/relationships/hyperlink" Target="https://facebook.com/merrionstreet" TargetMode="External"/><Relationship Id="rId486" Type="http://schemas.openxmlformats.org/officeDocument/2006/relationships/hyperlink" Target="https://facebook.com/UdenrigsministerietsBorgerservice" TargetMode="External"/><Relationship Id="rId693" Type="http://schemas.openxmlformats.org/officeDocument/2006/relationships/hyperlink" Target="https://facebook.com/Fernando-Zavala-Lombardi-153149818440394" TargetMode="External"/><Relationship Id="rId707" Type="http://schemas.openxmlformats.org/officeDocument/2006/relationships/hyperlink" Target="https://facebook.com/alexandervanderbellen" TargetMode="External"/><Relationship Id="rId914" Type="http://schemas.openxmlformats.org/officeDocument/2006/relationships/hyperlink" Target="https://facebook.com/mae.romania" TargetMode="External"/><Relationship Id="rId43" Type="http://schemas.openxmlformats.org/officeDocument/2006/relationships/hyperlink" Target="https://facebook.com/Seretse-Khama-Ian-Khama-667630409972128" TargetMode="External"/><Relationship Id="rId139" Type="http://schemas.openxmlformats.org/officeDocument/2006/relationships/hyperlink" Target="https://facebook.com/DrWorkneh.Official" TargetMode="External"/><Relationship Id="rId346" Type="http://schemas.openxmlformats.org/officeDocument/2006/relationships/hyperlink" Target="https://facebook.com/opmguyana" TargetMode="External"/><Relationship Id="rId553" Type="http://schemas.openxmlformats.org/officeDocument/2006/relationships/hyperlink" Target="https://facebook.com/zaevzoran" TargetMode="External"/><Relationship Id="rId760" Type="http://schemas.openxmlformats.org/officeDocument/2006/relationships/hyperlink" Target="https://facebook.com/comradegonsalves" TargetMode="External"/><Relationship Id="rId998" Type="http://schemas.openxmlformats.org/officeDocument/2006/relationships/hyperlink" Target="https://facebook.com/orbanviktor" TargetMode="External"/><Relationship Id="rId1183" Type="http://schemas.openxmlformats.org/officeDocument/2006/relationships/hyperlink" Target="https://facebook.com/vensonBDP" TargetMode="External"/><Relationship Id="rId192" Type="http://schemas.openxmlformats.org/officeDocument/2006/relationships/hyperlink" Target="https://facebook.com/GovernmentZA" TargetMode="External"/><Relationship Id="rId206" Type="http://schemas.openxmlformats.org/officeDocument/2006/relationships/hyperlink" Target="https://facebook.com/HashimThaciOfficial" TargetMode="External"/><Relationship Id="rId413" Type="http://schemas.openxmlformats.org/officeDocument/2006/relationships/hyperlink" Target="https://facebook.com/PresidentYAG" TargetMode="External"/><Relationship Id="rId858" Type="http://schemas.openxmlformats.org/officeDocument/2006/relationships/hyperlink" Target="https://facebook.com/heryvaovao" TargetMode="External"/><Relationship Id="rId1043" Type="http://schemas.openxmlformats.org/officeDocument/2006/relationships/hyperlink" Target="https://facebook.com/PresidenciaElSalvador" TargetMode="External"/><Relationship Id="rId497" Type="http://schemas.openxmlformats.org/officeDocument/2006/relationships/hyperlink" Target="https://facebook.com/usaporusski" TargetMode="External"/><Relationship Id="rId620" Type="http://schemas.openxmlformats.org/officeDocument/2006/relationships/hyperlink" Target="https://facebook.com/Charlot-Salwai-1645493972167563" TargetMode="External"/><Relationship Id="rId718" Type="http://schemas.openxmlformats.org/officeDocument/2006/relationships/hyperlink" Target="https://facebook.com/AngelaMerkel" TargetMode="External"/><Relationship Id="rId925" Type="http://schemas.openxmlformats.org/officeDocument/2006/relationships/hyperlink" Target="https://facebook.com/matignon.fr" TargetMode="External"/><Relationship Id="rId1250" Type="http://schemas.openxmlformats.org/officeDocument/2006/relationships/hyperlink" Target="https://facebook.com/gweah" TargetMode="External"/><Relationship Id="rId357" Type="http://schemas.openxmlformats.org/officeDocument/2006/relationships/hyperlink" Target="https://facebook.com/Palestine.PMO" TargetMode="External"/><Relationship Id="rId1110" Type="http://schemas.openxmlformats.org/officeDocument/2006/relationships/hyperlink" Target="https://facebook.com/statehousepressofficezambia" TargetMode="External"/><Relationship Id="rId1194" Type="http://schemas.openxmlformats.org/officeDocument/2006/relationships/hyperlink" Target="https://facebook.com/EdouardPhilippePM" TargetMode="External"/><Relationship Id="rId1208" Type="http://schemas.openxmlformats.org/officeDocument/2006/relationships/hyperlink" Target="https://facebook.com/mfa.gov.lk" TargetMode="External"/><Relationship Id="rId54" Type="http://schemas.openxmlformats.org/officeDocument/2006/relationships/hyperlink" Target="https://facebook.com/adrian.hasler1964" TargetMode="External"/><Relationship Id="rId217" Type="http://schemas.openxmlformats.org/officeDocument/2006/relationships/hyperlink" Target="https://facebook.com/IraqPMMediaOffice" TargetMode="External"/><Relationship Id="rId564" Type="http://schemas.openxmlformats.org/officeDocument/2006/relationships/hyperlink" Target="https://facebook.com/kancelaria.premiera" TargetMode="External"/><Relationship Id="rId771" Type="http://schemas.openxmlformats.org/officeDocument/2006/relationships/hyperlink" Target="https://facebook.com/denmark.dk" TargetMode="External"/><Relationship Id="rId869" Type="http://schemas.openxmlformats.org/officeDocument/2006/relationships/hyperlink" Target="https://facebook.com/IsraelMFA" TargetMode="External"/><Relationship Id="rId424" Type="http://schemas.openxmlformats.org/officeDocument/2006/relationships/hyperlink" Target="https://facebook.com/PrimeMinisterKR" TargetMode="External"/><Relationship Id="rId631" Type="http://schemas.openxmlformats.org/officeDocument/2006/relationships/hyperlink" Target="https://facebook.com/UlissesCorreiaSilva" TargetMode="External"/><Relationship Id="rId729" Type="http://schemas.openxmlformats.org/officeDocument/2006/relationships/hyperlink" Target="https://facebook.com/Aussenministerium" TargetMode="External"/><Relationship Id="rId1054" Type="http://schemas.openxmlformats.org/officeDocument/2006/relationships/hyperlink" Target="https://facebook.com/pcoogov" TargetMode="External"/><Relationship Id="rId1261" Type="http://schemas.openxmlformats.org/officeDocument/2006/relationships/hyperlink" Target="https://facebook.com/diplomatie.gov.mg" TargetMode="External"/><Relationship Id="rId270" Type="http://schemas.openxmlformats.org/officeDocument/2006/relationships/hyperlink" Target="https://facebook.com/maithripalas" TargetMode="External"/><Relationship Id="rId936" Type="http://schemas.openxmlformats.org/officeDocument/2006/relationships/hyperlink" Target="https://facebook.com/MFABulgaria" TargetMode="External"/><Relationship Id="rId1121" Type="http://schemas.openxmlformats.org/officeDocument/2006/relationships/hyperlink" Target="https://facebook.com/tcbestepe" TargetMode="External"/><Relationship Id="rId1219" Type="http://schemas.openxmlformats.org/officeDocument/2006/relationships/hyperlink" Target="https://facebook.com/KoreaClickers" TargetMode="External"/><Relationship Id="rId65" Type="http://schemas.openxmlformats.org/officeDocument/2006/relationships/hyperlink" Target="https://facebook.com/andrej.plenkovic.rh" TargetMode="External"/><Relationship Id="rId130" Type="http://schemas.openxmlformats.org/officeDocument/2006/relationships/hyperlink" Target="https://facebook.com/dodon.igor1" TargetMode="External"/><Relationship Id="rId368" Type="http://schemas.openxmlformats.org/officeDocument/2006/relationships/hyperlink" Target="https://facebook.com/PMOIndia" TargetMode="External"/><Relationship Id="rId575" Type="http://schemas.openxmlformats.org/officeDocument/2006/relationships/hyperlink" Target="https://facebook.com/PalauPresident" TargetMode="External"/><Relationship Id="rId782" Type="http://schemas.openxmlformats.org/officeDocument/2006/relationships/hyperlink" Target="https://facebook.com/Dr.AbdullahAbdullah" TargetMode="External"/><Relationship Id="rId228" Type="http://schemas.openxmlformats.org/officeDocument/2006/relationships/hyperlink" Target="https://facebook.com/jglafontant" TargetMode="External"/><Relationship Id="rId435" Type="http://schemas.openxmlformats.org/officeDocument/2006/relationships/hyperlink" Target="https://facebook.com/rochkabore15" TargetMode="External"/><Relationship Id="rId642" Type="http://schemas.openxmlformats.org/officeDocument/2006/relationships/hyperlink" Target="https://facebook.com/RaimondsVejonis" TargetMode="External"/><Relationship Id="rId1065" Type="http://schemas.openxmlformats.org/officeDocument/2006/relationships/hyperlink" Target="https://facebook.com/pressslujbakg" TargetMode="External"/><Relationship Id="rId1272" Type="http://schemas.openxmlformats.org/officeDocument/2006/relationships/hyperlink" Target="https://facebook.com/CancilleriaVE" TargetMode="External"/><Relationship Id="rId281" Type="http://schemas.openxmlformats.org/officeDocument/2006/relationships/hyperlink" Target="https://facebook.com/mfa.afghanistan" TargetMode="External"/><Relationship Id="rId502" Type="http://schemas.openxmlformats.org/officeDocument/2006/relationships/hyperlink" Target="https://facebook.com/valdibasmaja" TargetMode="External"/><Relationship Id="rId947" Type="http://schemas.openxmlformats.org/officeDocument/2006/relationships/hyperlink" Target="https://facebook.com/MfaSomalia" TargetMode="External"/><Relationship Id="rId1132" Type="http://schemas.openxmlformats.org/officeDocument/2006/relationships/hyperlink" Target="https://facebook.com/TurkishForeignMinistry" TargetMode="External"/><Relationship Id="rId76" Type="http://schemas.openxmlformats.org/officeDocument/2006/relationships/hyperlink" Target="https://facebook.com/ar.khamenei" TargetMode="External"/><Relationship Id="rId141" Type="http://schemas.openxmlformats.org/officeDocument/2006/relationships/hyperlink" Target="https://facebook.com/edirama.al" TargetMode="External"/><Relationship Id="rId379" Type="http://schemas.openxmlformats.org/officeDocument/2006/relationships/hyperlink" Target="https://facebook.com/Presidence.bf" TargetMode="External"/><Relationship Id="rId586" Type="http://schemas.openxmlformats.org/officeDocument/2006/relationships/hyperlink" Target="https://facebook.com/khawaja.asif.official" TargetMode="External"/><Relationship Id="rId793" Type="http://schemas.openxmlformats.org/officeDocument/2006/relationships/hyperlink" Target="https://facebook.com/egovmaroc" TargetMode="External"/><Relationship Id="rId807" Type="http://schemas.openxmlformats.org/officeDocument/2006/relationships/hyperlink" Target="https://facebook.com/FijianGovernment" TargetMode="External"/><Relationship Id="rId7" Type="http://schemas.openxmlformats.org/officeDocument/2006/relationships/hyperlink" Target="https://facebook.com/Minist&#232;re-des-Affaires-Etrang&#232;res-et-des-Guin&#233;ens-de-lEtranger-898481620186007" TargetMode="External"/><Relationship Id="rId239" Type="http://schemas.openxmlformats.org/officeDocument/2006/relationships/hyperlink" Target="https://facebook.com/KabminUA" TargetMode="External"/><Relationship Id="rId446" Type="http://schemas.openxmlformats.org/officeDocument/2006/relationships/hyperlink" Target="https://facebook.com/SassouCG" TargetMode="External"/><Relationship Id="rId653" Type="http://schemas.openxmlformats.org/officeDocument/2006/relationships/hyperlink" Target="https://facebook.com/Governo-de-Portugal-548265471873786" TargetMode="External"/><Relationship Id="rId1076" Type="http://schemas.openxmlformats.org/officeDocument/2006/relationships/hyperlink" Target="https://facebook.com/QueenRania" TargetMode="External"/><Relationship Id="rId1283" Type="http://schemas.openxmlformats.org/officeDocument/2006/relationships/hyperlink" Target="https://facebook.com/PresidentDrErnestBaiKoroma" TargetMode="External"/><Relationship Id="rId292" Type="http://schemas.openxmlformats.org/officeDocument/2006/relationships/hyperlink" Target="https://facebook.com/mfaic.gov.kh" TargetMode="External"/><Relationship Id="rId306" Type="http://schemas.openxmlformats.org/officeDocument/2006/relationships/hyperlink" Target="https://facebook.com/ministerio.exteriores.sv" TargetMode="External"/><Relationship Id="rId860" Type="http://schemas.openxmlformats.org/officeDocument/2006/relationships/hyperlink" Target="https://facebook.com/HHSheikhMohammed" TargetMode="External"/><Relationship Id="rId958" Type="http://schemas.openxmlformats.org/officeDocument/2006/relationships/hyperlink" Target="https://facebook.com/MinistryOfForeignAffairsOfVietnam" TargetMode="External"/><Relationship Id="rId1143" Type="http://schemas.openxmlformats.org/officeDocument/2006/relationships/hyperlink" Target="https://facebook.com/USAbilAraby" TargetMode="External"/><Relationship Id="rId87" Type="http://schemas.openxmlformats.org/officeDocument/2006/relationships/hyperlink" Target="https://facebook.com/BeMonarchie" TargetMode="External"/><Relationship Id="rId513" Type="http://schemas.openxmlformats.org/officeDocument/2006/relationships/hyperlink" Target="https://facebook.com/WhiteHouse" TargetMode="External"/><Relationship Id="rId597" Type="http://schemas.openxmlformats.org/officeDocument/2006/relationships/hyperlink" Target="https://facebook.com/jacindaardern" TargetMode="External"/><Relationship Id="rId720" Type="http://schemas.openxmlformats.org/officeDocument/2006/relationships/hyperlink" Target="https://facebook.com/anifahaman2" TargetMode="External"/><Relationship Id="rId818" Type="http://schemas.openxmlformats.org/officeDocument/2006/relationships/hyperlink" Target="https://facebook.com/freelandchrystia" TargetMode="External"/><Relationship Id="rId152" Type="http://schemas.openxmlformats.org/officeDocument/2006/relationships/hyperlink" Target="https://facebook.com/eucouncil" TargetMode="External"/><Relationship Id="rId457" Type="http://schemas.openxmlformats.org/officeDocument/2006/relationships/hyperlink" Target="https://facebook.com/SREMX" TargetMode="External"/><Relationship Id="rId1003" Type="http://schemas.openxmlformats.org/officeDocument/2006/relationships/hyperlink" Target="https://facebook.com/PalaciodelaMoncloa" TargetMode="External"/><Relationship Id="rId1087" Type="http://schemas.openxmlformats.org/officeDocument/2006/relationships/hyperlink" Target="https://facebook.com/rrossello" TargetMode="External"/><Relationship Id="rId1210" Type="http://schemas.openxmlformats.org/officeDocument/2006/relationships/hyperlink" Target="https://facebook.com/mfaguyana" TargetMode="External"/><Relationship Id="rId1294" Type="http://schemas.openxmlformats.org/officeDocument/2006/relationships/hyperlink" Target="https://facebook.com/Evo-Morales-Ayma-145070396007399" TargetMode="External"/><Relationship Id="rId1308" Type="http://schemas.openxmlformats.org/officeDocument/2006/relationships/hyperlink" Target="http://www.facebook.com/121970121613451" TargetMode="External"/><Relationship Id="rId664" Type="http://schemas.openxmlformats.org/officeDocument/2006/relationships/hyperlink" Target="https://facebook.com/JOMAV-Presidente-580510255379054" TargetMode="External"/><Relationship Id="rId871" Type="http://schemas.openxmlformats.org/officeDocument/2006/relationships/hyperlink" Target="https://facebook.com/ItalyMFA.it" TargetMode="External"/><Relationship Id="rId969" Type="http://schemas.openxmlformats.org/officeDocument/2006/relationships/hyperlink" Target="https://facebook.com/mofabdpage" TargetMode="External"/><Relationship Id="rId14" Type="http://schemas.openxmlformats.org/officeDocument/2006/relationships/hyperlink" Target="https://facebook.com/MoFA-of-Indonesia-134183339948571" TargetMode="External"/><Relationship Id="rId317" Type="http://schemas.openxmlformats.org/officeDocument/2006/relationships/hyperlink" Target="https://facebook.com/mofa.oman" TargetMode="External"/><Relationship Id="rId524" Type="http://schemas.openxmlformats.org/officeDocument/2006/relationships/hyperlink" Target="https://facebook.com/Karen.Karapetyan" TargetMode="External"/><Relationship Id="rId731" Type="http://schemas.openxmlformats.org/officeDocument/2006/relationships/hyperlink" Target="https://facebook.com/BasbakanlikKD" TargetMode="External"/><Relationship Id="rId1154" Type="http://schemas.openxmlformats.org/officeDocument/2006/relationships/hyperlink" Target="https://facebook.com/Vbainimarama" TargetMode="External"/><Relationship Id="rId98" Type="http://schemas.openxmlformats.org/officeDocument/2006/relationships/hyperlink" Target="https://facebook.com/CancilleriaARG" TargetMode="External"/><Relationship Id="rId163" Type="http://schemas.openxmlformats.org/officeDocument/2006/relationships/hyperlink" Target="https://facebook.com/foreignoffice" TargetMode="External"/><Relationship Id="rId370" Type="http://schemas.openxmlformats.org/officeDocument/2006/relationships/hyperlink" Target="https://facebook.com/PMOMalaysia" TargetMode="External"/><Relationship Id="rId829" Type="http://schemas.openxmlformats.org/officeDocument/2006/relationships/hyperlink" Target="https://facebook.com/gobiernocr" TargetMode="External"/><Relationship Id="rId1014" Type="http://schemas.openxmlformats.org/officeDocument/2006/relationships/hyperlink" Target="https://facebook.com/pid.gov.official" TargetMode="External"/><Relationship Id="rId1221" Type="http://schemas.openxmlformats.org/officeDocument/2006/relationships/hyperlink" Target="https://facebook.com/FEGnassingbe" TargetMode="External"/><Relationship Id="rId230" Type="http://schemas.openxmlformats.org/officeDocument/2006/relationships/hyperlink" Target="https://facebook.com/JMSantos.Presidente" TargetMode="External"/><Relationship Id="rId468" Type="http://schemas.openxmlformats.org/officeDocument/2006/relationships/hyperlink" Target="https://facebook.com/SushmaSwarajBJP" TargetMode="External"/><Relationship Id="rId675" Type="http://schemas.openxmlformats.org/officeDocument/2006/relationships/hyperlink" Target="https://facebook.com/didier-reynders-66985740526" TargetMode="External"/><Relationship Id="rId882" Type="http://schemas.openxmlformats.org/officeDocument/2006/relationships/hyperlink" Target="https://facebook.com/jovenelmoise" TargetMode="External"/><Relationship Id="rId1098" Type="http://schemas.openxmlformats.org/officeDocument/2006/relationships/hyperlink" Target="https://facebook.com/SecretariaDeRelacionesExterioresDeHonduras" TargetMode="External"/><Relationship Id="rId25" Type="http://schemas.openxmlformats.org/officeDocument/2006/relationships/hyperlink" Target="https://facebook.com/Carlos-Agostinho-do-Ros&#225;rio-328165980711185" TargetMode="External"/><Relationship Id="rId328" Type="http://schemas.openxmlformats.org/officeDocument/2006/relationships/hyperlink" Target="https://facebook.com/mofapk" TargetMode="External"/><Relationship Id="rId535" Type="http://schemas.openxmlformats.org/officeDocument/2006/relationships/hyperlink" Target="https://facebook.com/YoulaPremierministre" TargetMode="External"/><Relationship Id="rId742" Type="http://schemas.openxmlformats.org/officeDocument/2006/relationships/hyperlink" Target="https://facebook.com/boutersedesi" TargetMode="External"/><Relationship Id="rId1165" Type="http://schemas.openxmlformats.org/officeDocument/2006/relationships/hyperlink" Target="https://facebook.com/www.foreignaffairs.gov.ng" TargetMode="External"/><Relationship Id="rId174" Type="http://schemas.openxmlformats.org/officeDocument/2006/relationships/hyperlink" Target="https://facebook.com/GeorgianGovernment" TargetMode="External"/><Relationship Id="rId381" Type="http://schemas.openxmlformats.org/officeDocument/2006/relationships/hyperlink" Target="https://facebook.com/Presidence.Mali" TargetMode="External"/><Relationship Id="rId602" Type="http://schemas.openxmlformats.org/officeDocument/2006/relationships/hyperlink" Target="https://facebook.com/Premier-Mark-Brantley-107371062633538" TargetMode="External"/><Relationship Id="rId1025" Type="http://schemas.openxmlformats.org/officeDocument/2006/relationships/hyperlink" Target="https://facebook.com/PRC.CabinetCivil" TargetMode="External"/><Relationship Id="rId1232" Type="http://schemas.openxmlformats.org/officeDocument/2006/relationships/hyperlink" Target="https://facebook.com/jaarreaza.ve" TargetMode="External"/><Relationship Id="rId241" Type="http://schemas.openxmlformats.org/officeDocument/2006/relationships/hyperlink" Target="https://facebook.com/KazakhstanMFA" TargetMode="External"/><Relationship Id="rId479" Type="http://schemas.openxmlformats.org/officeDocument/2006/relationships/hyperlink" Target="https://facebook.com/tsheringtobgay" TargetMode="External"/><Relationship Id="rId686" Type="http://schemas.openxmlformats.org/officeDocument/2006/relationships/hyperlink" Target="https://facebook.com/Office-of-the-President-Republic-of-Botswana-752312678198295" TargetMode="External"/><Relationship Id="rId893" Type="http://schemas.openxmlformats.org/officeDocument/2006/relationships/hyperlink" Target="https://facebook.com/khadamotimatbuot" TargetMode="External"/><Relationship Id="rId907" Type="http://schemas.openxmlformats.org/officeDocument/2006/relationships/hyperlink" Target="https://facebook.com/larsloekke" TargetMode="External"/><Relationship Id="rId36" Type="http://schemas.openxmlformats.org/officeDocument/2006/relationships/hyperlink" Target="https://facebook.com/Office-of-the-President-791067600945337" TargetMode="External"/><Relationship Id="rId339" Type="http://schemas.openxmlformats.org/officeDocument/2006/relationships/hyperlink" Target="https://facebook.com/NamibianPresidency" TargetMode="External"/><Relationship Id="rId546" Type="http://schemas.openxmlformats.org/officeDocument/2006/relationships/hyperlink" Target="https://facebook.com/jyledrian" TargetMode="External"/><Relationship Id="rId753" Type="http://schemas.openxmlformats.org/officeDocument/2006/relationships/hyperlink" Target="https://facebook.com/CancilleriaPeru" TargetMode="External"/><Relationship Id="rId1176" Type="http://schemas.openxmlformats.org/officeDocument/2006/relationships/hyperlink" Target="https://facebook.com/saadhariri" TargetMode="External"/><Relationship Id="rId101" Type="http://schemas.openxmlformats.org/officeDocument/2006/relationships/hyperlink" Target="https://facebook.com/CancilleriaCostaRica" TargetMode="External"/><Relationship Id="rId185" Type="http://schemas.openxmlformats.org/officeDocument/2006/relationships/hyperlink" Target="https://facebook.com/gouvernement.fr" TargetMode="External"/><Relationship Id="rId406" Type="http://schemas.openxmlformats.org/officeDocument/2006/relationships/hyperlink" Target="https://facebook.com/PresidentialStrategicCommunicationsUnitDigital" TargetMode="External"/><Relationship Id="rId960" Type="http://schemas.openxmlformats.org/officeDocument/2006/relationships/hyperlink" Target="https://facebook.com/MIREXR" TargetMode="External"/><Relationship Id="rId1036" Type="http://schemas.openxmlformats.org/officeDocument/2006/relationships/hyperlink" Target="https://facebook.com/PresidenceGabon" TargetMode="External"/><Relationship Id="rId1243" Type="http://schemas.openxmlformats.org/officeDocument/2006/relationships/hyperlink" Target="https://facebook.com/pm.gov.dz" TargetMode="External"/><Relationship Id="rId392" Type="http://schemas.openxmlformats.org/officeDocument/2006/relationships/hyperlink" Target="https://facebook.com/PresidenciadeColombia" TargetMode="External"/><Relationship Id="rId613" Type="http://schemas.openxmlformats.org/officeDocument/2006/relationships/hyperlink" Target="https://facebook.com/Emmerson-Dambudzo-Mnangagwa-709844565772844" TargetMode="External"/><Relationship Id="rId697" Type="http://schemas.openxmlformats.org/officeDocument/2006/relationships/hyperlink" Target="https://facebook.com/10downingstreet" TargetMode="External"/><Relationship Id="rId820" Type="http://schemas.openxmlformats.org/officeDocument/2006/relationships/hyperlink" Target="https://facebook.com/gabon.primature" TargetMode="External"/><Relationship Id="rId918" Type="http://schemas.openxmlformats.org/officeDocument/2006/relationships/hyperlink" Target="https://facebook.com/MahamadouIssoufoupresident" TargetMode="External"/><Relationship Id="rId252" Type="http://schemas.openxmlformats.org/officeDocument/2006/relationships/hyperlink" Target="https://facebook.com/Kongehuset" TargetMode="External"/><Relationship Id="rId1103" Type="http://schemas.openxmlformats.org/officeDocument/2006/relationships/hyperlink" Target="https://facebook.com/SLGovernment" TargetMode="External"/><Relationship Id="rId1187" Type="http://schemas.openxmlformats.org/officeDocument/2006/relationships/hyperlink" Target="https://facebook.com/benindiplomatie" TargetMode="External"/><Relationship Id="rId1310" Type="http://schemas.openxmlformats.org/officeDocument/2006/relationships/hyperlink" Target="http://www.facebook.com/112733662097410" TargetMode="External"/><Relationship Id="rId47" Type="http://schemas.openxmlformats.org/officeDocument/2006/relationships/hyperlink" Target="https://facebook.com/Emmanuel-Issoze-Ngondet-1705779776380977/" TargetMode="External"/><Relationship Id="rId112" Type="http://schemas.openxmlformats.org/officeDocument/2006/relationships/hyperlink" Target="https://facebook.com/ComunicacionEcuador" TargetMode="External"/><Relationship Id="rId557" Type="http://schemas.openxmlformats.org/officeDocument/2006/relationships/hyperlink" Target="https://facebook.com/pmharriskn" TargetMode="External"/><Relationship Id="rId764" Type="http://schemas.openxmlformats.org/officeDocument/2006/relationships/hyperlink" Target="https://facebook.com/courgrandducale" TargetMode="External"/><Relationship Id="rId971" Type="http://schemas.openxmlformats.org/officeDocument/2006/relationships/hyperlink" Target="https://facebook.com/mofaisb" TargetMode="External"/><Relationship Id="rId196" Type="http://schemas.openxmlformats.org/officeDocument/2006/relationships/hyperlink" Target="https://facebook.com/govph" TargetMode="External"/><Relationship Id="rId417" Type="http://schemas.openxmlformats.org/officeDocument/2006/relationships/hyperlink" Target="https://facebook.com/prezidentcr" TargetMode="External"/><Relationship Id="rId624" Type="http://schemas.openxmlformats.org/officeDocument/2006/relationships/hyperlink" Target="https://facebook.com/halimahyacob" TargetMode="External"/><Relationship Id="rId831" Type="http://schemas.openxmlformats.org/officeDocument/2006/relationships/hyperlink" Target="https://facebook.com/gobmx" TargetMode="External"/><Relationship Id="rId1047" Type="http://schemas.openxmlformats.org/officeDocument/2006/relationships/hyperlink" Target="https://facebook.com/PresidenciaRD" TargetMode="External"/><Relationship Id="rId1254" Type="http://schemas.openxmlformats.org/officeDocument/2006/relationships/hyperlink" Target="https://facebook.com/Tieman-Hubert-Coulibaly-THC-780940372005195" TargetMode="External"/><Relationship Id="rId263" Type="http://schemas.openxmlformats.org/officeDocument/2006/relationships/hyperlink" Target="https://facebook.com/macedonianpresident" TargetMode="External"/><Relationship Id="rId470" Type="http://schemas.openxmlformats.org/officeDocument/2006/relationships/hyperlink" Target="https://facebook.com/SyrianPresidency" TargetMode="External"/><Relationship Id="rId929" Type="http://schemas.openxmlformats.org/officeDocument/2006/relationships/hyperlink" Target="https://facebook.com/mevlutcavusoglu07" TargetMode="External"/><Relationship Id="rId1114" Type="http://schemas.openxmlformats.org/officeDocument/2006/relationships/hyperlink" Target="https://facebook.com/stenbockimaja" TargetMode="External"/><Relationship Id="rId58" Type="http://schemas.openxmlformats.org/officeDocument/2006/relationships/hyperlink" Target="https://facebook.com/alexandervanderbellen" TargetMode="External"/><Relationship Id="rId123" Type="http://schemas.openxmlformats.org/officeDocument/2006/relationships/hyperlink" Target="https://facebook.com/DeptEstadoPR" TargetMode="External"/><Relationship Id="rId330" Type="http://schemas.openxmlformats.org/officeDocument/2006/relationships/hyperlink" Target="https://facebook.com/MOTPGuyana" TargetMode="External"/><Relationship Id="rId568" Type="http://schemas.openxmlformats.org/officeDocument/2006/relationships/hyperlink" Target="https://facebook.com/lerendezvousmada" TargetMode="External"/><Relationship Id="rId775" Type="http://schemas.openxmlformats.org/officeDocument/2006/relationships/hyperlink" Target="https://facebook.com/DIRCOza" TargetMode="External"/><Relationship Id="rId982" Type="http://schemas.openxmlformats.org/officeDocument/2006/relationships/hyperlink" Target="https://facebook.com/myanmarpresidentoffice.gov.mm" TargetMode="External"/><Relationship Id="rId1198" Type="http://schemas.openxmlformats.org/officeDocument/2006/relationships/hyperlink" Target="https://facebook.com/segreteriaaffariesteriSM" TargetMode="External"/><Relationship Id="rId428" Type="http://schemas.openxmlformats.org/officeDocument/2006/relationships/hyperlink" Target="https://facebook.com/Rami.Hamdalla" TargetMode="External"/><Relationship Id="rId635" Type="http://schemas.openxmlformats.org/officeDocument/2006/relationships/hyperlink" Target="https://facebook.com/alkatiri.mari" TargetMode="External"/><Relationship Id="rId842" Type="http://schemas.openxmlformats.org/officeDocument/2006/relationships/hyperlink" Target="https://facebook.com/GovernodeCaboVerde" TargetMode="External"/><Relationship Id="rId1058" Type="http://schemas.openxmlformats.org/officeDocument/2006/relationships/hyperlink" Target="https://facebook.com/PresidentMargvelashvili" TargetMode="External"/><Relationship Id="rId1265" Type="http://schemas.openxmlformats.org/officeDocument/2006/relationships/hyperlink" Target="https://facebook.com/TudorUlianovschi" TargetMode="External"/><Relationship Id="rId274" Type="http://schemas.openxmlformats.org/officeDocument/2006/relationships/hyperlink" Target="https://facebook.com/manuelgonzalezscr" TargetMode="External"/><Relationship Id="rId481" Type="http://schemas.openxmlformats.org/officeDocument/2006/relationships/hyperlink" Target="https://facebook.com/tsiprasforpresident" TargetMode="External"/><Relationship Id="rId702" Type="http://schemas.openxmlformats.org/officeDocument/2006/relationships/hyperlink" Target="https://facebook.com/AlassaneOuattara.prci" TargetMode="External"/><Relationship Id="rId1125" Type="http://schemas.openxmlformats.org/officeDocument/2006/relationships/hyperlink" Target="https://facebook.com/TheBritishMonarchy" TargetMode="External"/><Relationship Id="rId69" Type="http://schemas.openxmlformats.org/officeDocument/2006/relationships/hyperlink" Target="https://facebook.com/AngelaMerkel" TargetMode="External"/><Relationship Id="rId134" Type="http://schemas.openxmlformats.org/officeDocument/2006/relationships/hyperlink" Target="https://facebook.com/dr.aljaffaary" TargetMode="External"/><Relationship Id="rId579" Type="http://schemas.openxmlformats.org/officeDocument/2006/relationships/hyperlink" Target="https://facebook.com/EisPresidentiRDTL" TargetMode="External"/><Relationship Id="rId786" Type="http://schemas.openxmlformats.org/officeDocument/2006/relationships/hyperlink" Target="https://facebook.com/DrHageGeingob" TargetMode="External"/><Relationship Id="rId993" Type="http://schemas.openxmlformats.org/officeDocument/2006/relationships/hyperlink" Target="https://facebook.com/niinisto" TargetMode="External"/><Relationship Id="rId341" Type="http://schemas.openxmlformats.org/officeDocument/2006/relationships/hyperlink" Target="https://facebook.com/Netanyahu" TargetMode="External"/><Relationship Id="rId439" Type="http://schemas.openxmlformats.org/officeDocument/2006/relationships/hyperlink" Target="https://facebook.com/RwandaGov" TargetMode="External"/><Relationship Id="rId646" Type="http://schemas.openxmlformats.org/officeDocument/2006/relationships/hyperlink" Target="https://facebook.com/MinrelChile" TargetMode="External"/><Relationship Id="rId1069" Type="http://schemas.openxmlformats.org/officeDocument/2006/relationships/hyperlink" Target="https://facebook.com/PrimatureRDCongo" TargetMode="External"/><Relationship Id="rId1276" Type="http://schemas.openxmlformats.org/officeDocument/2006/relationships/hyperlink" Target="https://facebook.com/Ph%E1%BA%A1m-B%C3%ACnh-Minh-919861878132744" TargetMode="External"/><Relationship Id="rId201" Type="http://schemas.openxmlformats.org/officeDocument/2006/relationships/hyperlink" Target="https://facebook.com/GudlaugurThorXD" TargetMode="External"/><Relationship Id="rId285" Type="http://schemas.openxmlformats.org/officeDocument/2006/relationships/hyperlink" Target="https://facebook.com/mfa.tj" TargetMode="External"/><Relationship Id="rId506" Type="http://schemas.openxmlformats.org/officeDocument/2006/relationships/hyperlink" Target="https://facebook.com/Vivian.Balakrishnan.Sg" TargetMode="External"/><Relationship Id="rId853" Type="http://schemas.openxmlformats.org/officeDocument/2006/relationships/hyperlink" Target="https://facebook.com/GvtMonaco" TargetMode="External"/><Relationship Id="rId1136" Type="http://schemas.openxmlformats.org/officeDocument/2006/relationships/hyperlink" Target="https://facebook.com/UgandaMediaCentre" TargetMode="External"/><Relationship Id="rId492" Type="http://schemas.openxmlformats.org/officeDocument/2006/relationships/hyperlink" Target="https://facebook.com/uradvlady" TargetMode="External"/><Relationship Id="rId713" Type="http://schemas.openxmlformats.org/officeDocument/2006/relationships/hyperlink" Target="https://facebook.com/AndersSamuelsenLA" TargetMode="External"/><Relationship Id="rId797" Type="http://schemas.openxmlformats.org/officeDocument/2006/relationships/hyperlink" Target="https://facebook.com/EmirOfQatar" TargetMode="External"/><Relationship Id="rId920" Type="http://schemas.openxmlformats.org/officeDocument/2006/relationships/hyperlink" Target="https://facebook.com/malawigovernment" TargetMode="External"/><Relationship Id="rId145" Type="http://schemas.openxmlformats.org/officeDocument/2006/relationships/hyperlink" Target="https://facebook.com/egyptgovportal" TargetMode="External"/><Relationship Id="rId352" Type="http://schemas.openxmlformats.org/officeDocument/2006/relationships/hyperlink" Target="https://facebook.com/otptt" TargetMode="External"/><Relationship Id="rId1203" Type="http://schemas.openxmlformats.org/officeDocument/2006/relationships/hyperlink" Target="https://facebook.com/NDimitrovMK" TargetMode="External"/><Relationship Id="rId1287" Type="http://schemas.openxmlformats.org/officeDocument/2006/relationships/hyperlink" Target="https://facebook.com/Igor-Crnadak-125367794733621" TargetMode="External"/><Relationship Id="rId212" Type="http://schemas.openxmlformats.org/officeDocument/2006/relationships/hyperlink" Target="https://facebook.com/horaciocartesoficial" TargetMode="External"/><Relationship Id="rId657" Type="http://schemas.openxmlformats.org/officeDocument/2006/relationships/hyperlink" Target="https://facebook.com/Ministry-of-Foreign-Affairs-Maldives-434954336556544" TargetMode="External"/><Relationship Id="rId864" Type="http://schemas.openxmlformats.org/officeDocument/2006/relationships/hyperlink" Target="https://facebook.com/IBK.Officiel" TargetMode="External"/><Relationship Id="rId296" Type="http://schemas.openxmlformats.org/officeDocument/2006/relationships/hyperlink" Target="https://facebook.com/mfamongoliaMN" TargetMode="External"/><Relationship Id="rId517" Type="http://schemas.openxmlformats.org/officeDocument/2006/relationships/hyperlink" Target="https://facebook.com/www.Khamenei.ir" TargetMode="External"/><Relationship Id="rId724" Type="http://schemas.openxmlformats.org/officeDocument/2006/relationships/hyperlink" Target="https://facebook.com/APNU.Guyana" TargetMode="External"/><Relationship Id="rId931" Type="http://schemas.openxmlformats.org/officeDocument/2006/relationships/hyperlink" Target="https://facebook.com/MFA.Armenia" TargetMode="External"/><Relationship Id="rId1147" Type="http://schemas.openxmlformats.org/officeDocument/2006/relationships/hyperlink" Target="https://facebook.com/USAUrdu" TargetMode="External"/><Relationship Id="rId60" Type="http://schemas.openxmlformats.org/officeDocument/2006/relationships/hyperlink" Target="https://facebook.com/allenmchastanet" TargetMode="External"/><Relationship Id="rId156" Type="http://schemas.openxmlformats.org/officeDocument/2006/relationships/hyperlink" Target="https://facebook.com/Exteriores.maec" TargetMode="External"/><Relationship Id="rId363" Type="http://schemas.openxmlformats.org/officeDocument/2006/relationships/hyperlink" Target="https://facebook.com/PCMPERU" TargetMode="External"/><Relationship Id="rId570" Type="http://schemas.openxmlformats.org/officeDocument/2006/relationships/hyperlink" Target="https://facebook.com/KoreaClickers" TargetMode="External"/><Relationship Id="rId1007" Type="http://schemas.openxmlformats.org/officeDocument/2006/relationships/hyperlink" Target="https://facebook.com/paologentiloni" TargetMode="External"/><Relationship Id="rId1214" Type="http://schemas.openxmlformats.org/officeDocument/2006/relationships/hyperlink" Target="https://facebook.com/KantorStafPresidenRI" TargetMode="External"/><Relationship Id="rId223" Type="http://schemas.openxmlformats.org/officeDocument/2006/relationships/hyperlink" Target="https://facebook.com/ItamaratyGovBr" TargetMode="External"/><Relationship Id="rId430" Type="http://schemas.openxmlformats.org/officeDocument/2006/relationships/hyperlink" Target="https://facebook.com/ratasjuri" TargetMode="External"/><Relationship Id="rId668" Type="http://schemas.openxmlformats.org/officeDocument/2006/relationships/hyperlink" Target="https://facebook.com/Jorge-Carlos-Fonseca-234404863297613" TargetMode="External"/><Relationship Id="rId875" Type="http://schemas.openxmlformats.org/officeDocument/2006/relationships/hyperlink" Target="https://facebook.com/JapanGov" TargetMode="External"/><Relationship Id="rId1060" Type="http://schemas.openxmlformats.org/officeDocument/2006/relationships/hyperlink" Target="https://facebook.com/PresidentofMalta" TargetMode="External"/><Relationship Id="rId1298" Type="http://schemas.openxmlformats.org/officeDocument/2006/relationships/hyperlink" Target="https://facebook.com/heiko.maas.98" TargetMode="External"/><Relationship Id="rId18" Type="http://schemas.openxmlformats.org/officeDocument/2006/relationships/hyperlink" Target="https://facebook.com/Sheikh-Mohamed-bin-Zayed-bin-Sultan-Al-Nahyan-1631139903865661" TargetMode="External"/><Relationship Id="rId528" Type="http://schemas.openxmlformats.org/officeDocument/2006/relationships/hyperlink" Target="https://facebook.com/AdelkaderMessahel2016" TargetMode="External"/><Relationship Id="rId735" Type="http://schemas.openxmlformats.org/officeDocument/2006/relationships/hyperlink" Target="https://facebook.com/Belgium.be" TargetMode="External"/><Relationship Id="rId942" Type="http://schemas.openxmlformats.org/officeDocument/2006/relationships/hyperlink" Target="https://facebook.com/MFAIceland" TargetMode="External"/><Relationship Id="rId1158" Type="http://schemas.openxmlformats.org/officeDocument/2006/relationships/hyperlink" Target="https://facebook.com/VladaRepublikeSlovenije" TargetMode="External"/><Relationship Id="rId167" Type="http://schemas.openxmlformats.org/officeDocument/2006/relationships/hyperlink" Target="https://facebook.com/france.diplomacy" TargetMode="External"/><Relationship Id="rId374" Type="http://schemas.openxmlformats.org/officeDocument/2006/relationships/hyperlink" Target="https://facebook.com/POTUS" TargetMode="External"/><Relationship Id="rId581" Type="http://schemas.openxmlformats.org/officeDocument/2006/relationships/hyperlink" Target="https://facebook.com/21nylee" TargetMode="External"/><Relationship Id="rId1018" Type="http://schemas.openxmlformats.org/officeDocument/2006/relationships/hyperlink" Target="https://facebook.com/PMOJO" TargetMode="External"/><Relationship Id="rId1225" Type="http://schemas.openxmlformats.org/officeDocument/2006/relationships/hyperlink" Target="https://facebook.com/RwandaMFA" TargetMode="External"/><Relationship Id="rId71" Type="http://schemas.openxmlformats.org/officeDocument/2006/relationships/hyperlink" Target="https://facebook.com/anifahaman2" TargetMode="External"/><Relationship Id="rId234" Type="http://schemas.openxmlformats.org/officeDocument/2006/relationships/hyperlink" Target="https://facebook.com/juanorlandoh" TargetMode="External"/><Relationship Id="rId679" Type="http://schemas.openxmlformats.org/officeDocument/2006/relationships/hyperlink" Target="https://facebook.com/IsabelStMalo" TargetMode="External"/><Relationship Id="rId802" Type="http://schemas.openxmlformats.org/officeDocument/2006/relationships/hyperlink" Target="https://facebook.com/EuropeanCommission" TargetMode="External"/><Relationship Id="rId886" Type="http://schemas.openxmlformats.org/officeDocument/2006/relationships/hyperlink" Target="https://facebook.com/JustinPJTrudeau" TargetMode="External"/><Relationship Id="rId2" Type="http://schemas.openxmlformats.org/officeDocument/2006/relationships/hyperlink" Target="https://facebook.com/GOSS-Government-of-Southern-Sudan-292935125286" TargetMode="External"/><Relationship Id="rId29" Type="http://schemas.openxmlformats.org/officeDocument/2006/relationships/hyperlink" Target="https://facebook.com/Hon-Freundel-J-Stuart-QC-MP-161612180563912" TargetMode="External"/><Relationship Id="rId441" Type="http://schemas.openxmlformats.org/officeDocument/2006/relationships/hyperlink" Target="https://facebook.com/SaintLuciaGovernment" TargetMode="External"/><Relationship Id="rId539" Type="http://schemas.openxmlformats.org/officeDocument/2006/relationships/hyperlink" Target="https://facebook.com/gouvbenin" TargetMode="External"/><Relationship Id="rId746" Type="http://schemas.openxmlformats.org/officeDocument/2006/relationships/hyperlink" Target="https://facebook.com/CancelariaRM" TargetMode="External"/><Relationship Id="rId1071" Type="http://schemas.openxmlformats.org/officeDocument/2006/relationships/hyperlink" Target="https://facebook.com/primeminister.kaz" TargetMode="External"/><Relationship Id="rId1169" Type="http://schemas.openxmlformats.org/officeDocument/2006/relationships/hyperlink" Target="https://facebook.com/www.zasag.mn" TargetMode="External"/><Relationship Id="rId178" Type="http://schemas.openxmlformats.org/officeDocument/2006/relationships/hyperlink" Target="https://facebook.com/GISNewsDominica" TargetMode="External"/><Relationship Id="rId301" Type="http://schemas.openxmlformats.org/officeDocument/2006/relationships/hyperlink" Target="https://facebook.com/MIDRussia" TargetMode="External"/><Relationship Id="rId953" Type="http://schemas.openxmlformats.org/officeDocument/2006/relationships/hyperlink" Target="https://facebook.com/mingobierno" TargetMode="External"/><Relationship Id="rId1029" Type="http://schemas.openxmlformats.org/officeDocument/2006/relationships/hyperlink" Target="https://facebook.com/Presidence.du.Niger" TargetMode="External"/><Relationship Id="rId1236" Type="http://schemas.openxmlformats.org/officeDocument/2006/relationships/hyperlink" Target="https://facebook.com/RamushHaradinajOfficial" TargetMode="External"/><Relationship Id="rId82" Type="http://schemas.openxmlformats.org/officeDocument/2006/relationships/hyperlink" Target="https://facebook.com/BasbakanlikKD" TargetMode="External"/><Relationship Id="rId385" Type="http://schemas.openxmlformats.org/officeDocument/2006/relationships/hyperlink" Target="https://facebook.com/Presidencecotedivoire" TargetMode="External"/><Relationship Id="rId592" Type="http://schemas.openxmlformats.org/officeDocument/2006/relationships/hyperlink" Target="https://facebook.com/tsogtbaatar.damdin" TargetMode="External"/><Relationship Id="rId606" Type="http://schemas.openxmlformats.org/officeDocument/2006/relationships/hyperlink" Target="https://facebook.com/maeciia1960" TargetMode="External"/><Relationship Id="rId813" Type="http://schemas.openxmlformats.org/officeDocument/2006/relationships/hyperlink" Target="https://facebook.com/ForeignOfficeKE" TargetMode="External"/><Relationship Id="rId245" Type="http://schemas.openxmlformats.org/officeDocument/2006/relationships/hyperlink" Target="https://facebook.com/Khamenei.Es" TargetMode="External"/><Relationship Id="rId452" Type="http://schemas.openxmlformats.org/officeDocument/2006/relationships/hyperlink" Target="https://facebook.com/sgovpr" TargetMode="External"/><Relationship Id="rId897" Type="http://schemas.openxmlformats.org/officeDocument/2006/relationships/hyperlink" Target="https://facebook.com/klausiohannis" TargetMode="External"/><Relationship Id="rId1082" Type="http://schemas.openxmlformats.org/officeDocument/2006/relationships/hyperlink" Target="https://facebook.com/ReuvenRivlin" TargetMode="External"/><Relationship Id="rId1303" Type="http://schemas.openxmlformats.org/officeDocument/2006/relationships/hyperlink" Target="http://www.facebook.com/419827918155173" TargetMode="External"/><Relationship Id="rId105" Type="http://schemas.openxmlformats.org/officeDocument/2006/relationships/hyperlink" Target="https://facebook.com/CasaPresidencial" TargetMode="External"/><Relationship Id="rId312" Type="http://schemas.openxmlformats.org/officeDocument/2006/relationships/hyperlink" Target="https://facebook.com/mirocerar.SMC" TargetMode="External"/><Relationship Id="rId757" Type="http://schemas.openxmlformats.org/officeDocument/2006/relationships/hyperlink" Target="https://facebook.com/CentralCommunicationsServiceOfKazakhstan" TargetMode="External"/><Relationship Id="rId964" Type="http://schemas.openxmlformats.org/officeDocument/2006/relationships/hyperlink" Target="https://facebook.com/Mofa.Japan" TargetMode="External"/><Relationship Id="rId93" Type="http://schemas.openxmlformats.org/officeDocument/2006/relationships/hyperlink" Target="https://facebook.com/boutersedesi" TargetMode="External"/><Relationship Id="rId189" Type="http://schemas.openxmlformats.org/officeDocument/2006/relationships/hyperlink" Target="https://facebook.com/govbrunei" TargetMode="External"/><Relationship Id="rId396" Type="http://schemas.openxmlformats.org/officeDocument/2006/relationships/hyperlink" Target="https://facebook.com/presidenciaperu" TargetMode="External"/><Relationship Id="rId617" Type="http://schemas.openxmlformats.org/officeDocument/2006/relationships/hyperlink" Target="https://facebook.com/MNEdePortugal" TargetMode="External"/><Relationship Id="rId824" Type="http://schemas.openxmlformats.org/officeDocument/2006/relationships/hyperlink" Target="https://facebook.com/ghanapresident" TargetMode="External"/><Relationship Id="rId1247" Type="http://schemas.openxmlformats.org/officeDocument/2006/relationships/hyperlink" Target="https://facebook.com/winstonpeters" TargetMode="External"/><Relationship Id="rId256" Type="http://schemas.openxmlformats.org/officeDocument/2006/relationships/hyperlink" Target="https://facebook.com/KvirikashviliOfficial" TargetMode="External"/><Relationship Id="rId463" Type="http://schemas.openxmlformats.org/officeDocument/2006/relationships/hyperlink" Target="https://facebook.com/statehouseug" TargetMode="External"/><Relationship Id="rId670" Type="http://schemas.openxmlformats.org/officeDocument/2006/relationships/hyperlink" Target="https://facebook.com/Saulius-Skvernelis-814777171988967" TargetMode="External"/><Relationship Id="rId1093" Type="http://schemas.openxmlformats.org/officeDocument/2006/relationships/hyperlink" Target="https://facebook.com/sanewsgovza" TargetMode="External"/><Relationship Id="rId1107" Type="http://schemas.openxmlformats.org/officeDocument/2006/relationships/hyperlink" Target="https://facebook.com/ssanchezceren" TargetMode="External"/><Relationship Id="rId1314" Type="http://schemas.openxmlformats.org/officeDocument/2006/relationships/hyperlink" Target="http://www.facebook.com/252932994776447" TargetMode="External"/><Relationship Id="rId116" Type="http://schemas.openxmlformats.org/officeDocument/2006/relationships/hyperlink" Target="https://facebook.com/CubaMINREX" TargetMode="External"/><Relationship Id="rId323" Type="http://schemas.openxmlformats.org/officeDocument/2006/relationships/hyperlink" Target="https://facebook.com/mofakr.eng" TargetMode="External"/><Relationship Id="rId530" Type="http://schemas.openxmlformats.org/officeDocument/2006/relationships/hyperlink" Target="https://facebook.com/Paulkaba.2016" TargetMode="External"/><Relationship Id="rId768" Type="http://schemas.openxmlformats.org/officeDocument/2006/relationships/hyperlink" Target="https://facebook.com/DacicIvica" TargetMode="External"/><Relationship Id="rId975" Type="http://schemas.openxmlformats.org/officeDocument/2006/relationships/hyperlink" Target="https://facebook.com/mofamyanmar" TargetMode="External"/><Relationship Id="rId1160" Type="http://schemas.openxmlformats.org/officeDocument/2006/relationships/hyperlink" Target="https://facebook.com/votealpha2015" TargetMode="External"/><Relationship Id="rId20" Type="http://schemas.openxmlformats.org/officeDocument/2006/relationships/hyperlink" Target="https://facebook.com/Xavier-Bettel-76714151717" TargetMode="External"/><Relationship Id="rId628" Type="http://schemas.openxmlformats.org/officeDocument/2006/relationships/hyperlink" Target="https://facebook.com/Ahmed-Ouyahia-%D8%A7%D9%84%D9%88%D8%B2%D9%8A%D8%B1-%D8%A7%D9%84%D8%A3%D9%88%D9%84-517608345237500" TargetMode="External"/><Relationship Id="rId835" Type="http://schemas.openxmlformats.org/officeDocument/2006/relationships/hyperlink" Target="https://facebook.com/gouvernementcongobrazzaville" TargetMode="External"/><Relationship Id="rId1258" Type="http://schemas.openxmlformats.org/officeDocument/2006/relationships/hyperlink" Target="https://facebook.com/MouambaClement" TargetMode="External"/><Relationship Id="rId267" Type="http://schemas.openxmlformats.org/officeDocument/2006/relationships/hyperlink" Target="https://facebook.com/MAEE.Luxembourg" TargetMode="External"/><Relationship Id="rId474" Type="http://schemas.openxmlformats.org/officeDocument/2006/relationships/hyperlink" Target="https://facebook.com/thailandprd" TargetMode="External"/><Relationship Id="rId1020" Type="http://schemas.openxmlformats.org/officeDocument/2006/relationships/hyperlink" Target="https://facebook.com/pmopressecoffice" TargetMode="External"/><Relationship Id="rId1118" Type="http://schemas.openxmlformats.org/officeDocument/2006/relationships/hyperlink" Target="https://facebook.com/SweMFA" TargetMode="External"/><Relationship Id="rId127" Type="http://schemas.openxmlformats.org/officeDocument/2006/relationships/hyperlink" Target="https://facebook.com/Disisleri" TargetMode="External"/><Relationship Id="rId681" Type="http://schemas.openxmlformats.org/officeDocument/2006/relationships/hyperlink" Target="https://facebook.com/Ministarstvo-vanjskih-i-europskih-poslova-506453726037312" TargetMode="External"/><Relationship Id="rId779" Type="http://schemas.openxmlformats.org/officeDocument/2006/relationships/hyperlink" Target="https://facebook.com/dodon.igor1" TargetMode="External"/><Relationship Id="rId902" Type="http://schemas.openxmlformats.org/officeDocument/2006/relationships/hyperlink" Target="https://facebook.com/kormanyzat" TargetMode="External"/><Relationship Id="rId986" Type="http://schemas.openxmlformats.org/officeDocument/2006/relationships/hyperlink" Target="https://facebook.com/najibrazak" TargetMode="External"/><Relationship Id="rId31" Type="http://schemas.openxmlformats.org/officeDocument/2006/relationships/hyperlink" Target="https://facebook.com/Mariano-Rajoy-Brey-54212446406" TargetMode="External"/><Relationship Id="rId334" Type="http://schemas.openxmlformats.org/officeDocument/2006/relationships/hyperlink" Target="https://facebook.com/myuhurukenyatta" TargetMode="External"/><Relationship Id="rId541" Type="http://schemas.openxmlformats.org/officeDocument/2006/relationships/hyperlink" Target="https://facebook.com/TVMelescanu" TargetMode="External"/><Relationship Id="rId639" Type="http://schemas.openxmlformats.org/officeDocument/2006/relationships/hyperlink" Target="https://facebook.com/Bundespraesident.Steinmeier" TargetMode="External"/><Relationship Id="rId1171" Type="http://schemas.openxmlformats.org/officeDocument/2006/relationships/hyperlink" Target="https://facebook.com/Youssefchahedofficiel" TargetMode="External"/><Relationship Id="rId1269" Type="http://schemas.openxmlformats.org/officeDocument/2006/relationships/hyperlink" Target="https://facebook.com/Charlot-Salwai-1645493972167563" TargetMode="External"/><Relationship Id="rId180" Type="http://schemas.openxmlformats.org/officeDocument/2006/relationships/hyperlink" Target="https://facebook.com/gobiernocr" TargetMode="External"/><Relationship Id="rId278" Type="http://schemas.openxmlformats.org/officeDocument/2006/relationships/hyperlink" Target="https://facebook.com/MEAINDIA" TargetMode="External"/><Relationship Id="rId401" Type="http://schemas.openxmlformats.org/officeDocument/2006/relationships/hyperlink" Target="https://facebook.com/President.bg" TargetMode="External"/><Relationship Id="rId846" Type="http://schemas.openxmlformats.org/officeDocument/2006/relationships/hyperlink" Target="https://facebook.com/GovtPressSec" TargetMode="External"/><Relationship Id="rId1031" Type="http://schemas.openxmlformats.org/officeDocument/2006/relationships/hyperlink" Target="https://facebook.com/Presidence.tn" TargetMode="External"/><Relationship Id="rId1129" Type="http://schemas.openxmlformats.org/officeDocument/2006/relationships/hyperlink" Target="https://facebook.com/tsiprasalexis" TargetMode="External"/><Relationship Id="rId485" Type="http://schemas.openxmlformats.org/officeDocument/2006/relationships/hyperlink" Target="https://facebook.com/UAEmGov" TargetMode="External"/><Relationship Id="rId692" Type="http://schemas.openxmlformats.org/officeDocument/2006/relationships/hyperlink" Target="https://facebook.com/Seretse-Khama-Ian-Khama-667630409972128" TargetMode="External"/><Relationship Id="rId706" Type="http://schemas.openxmlformats.org/officeDocument/2006/relationships/hyperlink" Target="https://facebook.com/AkordaPress" TargetMode="External"/><Relationship Id="rId913" Type="http://schemas.openxmlformats.org/officeDocument/2006/relationships/hyperlink" Target="https://facebook.com/MadaxweynahaJFS" TargetMode="External"/><Relationship Id="rId42" Type="http://schemas.openxmlformats.org/officeDocument/2006/relationships/hyperlink" Target="https://facebook.com/RT-Hon-Dr-Ruhakana-Rugunda-1577972009097699" TargetMode="External"/><Relationship Id="rId138" Type="http://schemas.openxmlformats.org/officeDocument/2006/relationships/hyperlink" Target="https://facebook.com/drkeithcmitchell" TargetMode="External"/><Relationship Id="rId345" Type="http://schemas.openxmlformats.org/officeDocument/2006/relationships/hyperlink" Target="https://facebook.com/NyusiConfioemti" TargetMode="External"/><Relationship Id="rId552" Type="http://schemas.openxmlformats.org/officeDocument/2006/relationships/hyperlink" Target="https://facebook.com/KhaltmaaBattulga" TargetMode="External"/><Relationship Id="rId997" Type="http://schemas.openxmlformats.org/officeDocument/2006/relationships/hyperlink" Target="https://facebook.com/opmuganda" TargetMode="External"/><Relationship Id="rId1182" Type="http://schemas.openxmlformats.org/officeDocument/2006/relationships/hyperlink" Target="https://facebook.com/Abdoulkader-Kamil-Mohamed-1018182241561855" TargetMode="External"/><Relationship Id="rId191" Type="http://schemas.openxmlformats.org/officeDocument/2006/relationships/hyperlink" Target="https://facebook.com/GovernmentofPalestine" TargetMode="External"/><Relationship Id="rId205" Type="http://schemas.openxmlformats.org/officeDocument/2006/relationships/hyperlink" Target="https://facebook.com/haider.alabadi.iraq" TargetMode="External"/><Relationship Id="rId412" Type="http://schemas.openxmlformats.org/officeDocument/2006/relationships/hyperlink" Target="https://facebook.com/PresidentPaulKagame" TargetMode="External"/><Relationship Id="rId857" Type="http://schemas.openxmlformats.org/officeDocument/2006/relationships/hyperlink" Target="https://facebook.com/hellosarkar.np" TargetMode="External"/><Relationship Id="rId1042" Type="http://schemas.openxmlformats.org/officeDocument/2006/relationships/hyperlink" Target="https://facebook.com/PresidenciadePanama" TargetMode="External"/><Relationship Id="rId289" Type="http://schemas.openxmlformats.org/officeDocument/2006/relationships/hyperlink" Target="https://facebook.com/MFAEgyptEnglish" TargetMode="External"/><Relationship Id="rId496" Type="http://schemas.openxmlformats.org/officeDocument/2006/relationships/hyperlink" Target="https://facebook.com/USAgov" TargetMode="External"/><Relationship Id="rId717" Type="http://schemas.openxmlformats.org/officeDocument/2006/relationships/hyperlink" Target="https://facebook.com/andrzejduda" TargetMode="External"/><Relationship Id="rId924" Type="http://schemas.openxmlformats.org/officeDocument/2006/relationships/hyperlink" Target="https://facebook.com/margot.wallstrom" TargetMode="External"/><Relationship Id="rId53" Type="http://schemas.openxmlformats.org/officeDocument/2006/relationships/hyperlink" Target="https://facebook.com/AlassaneOuattara.prci" TargetMode="External"/><Relationship Id="rId149" Type="http://schemas.openxmlformats.org/officeDocument/2006/relationships/hyperlink" Target="https://facebook.com/EnriquePN" TargetMode="External"/><Relationship Id="rId356" Type="http://schemas.openxmlformats.org/officeDocument/2006/relationships/hyperlink" Target="https://facebook.com/palazzochigi.it" TargetMode="External"/><Relationship Id="rId563" Type="http://schemas.openxmlformats.org/officeDocument/2006/relationships/hyperlink" Target="https://facebook.com/LuisGRiveraMarin" TargetMode="External"/><Relationship Id="rId770" Type="http://schemas.openxmlformats.org/officeDocument/2006/relationships/hyperlink" Target="https://facebook.com/DannyARFaure" TargetMode="External"/><Relationship Id="rId1193" Type="http://schemas.openxmlformats.org/officeDocument/2006/relationships/hyperlink" Target="https://facebook.com/EmmanuelMacron" TargetMode="External"/><Relationship Id="rId1207" Type="http://schemas.openxmlformats.org/officeDocument/2006/relationships/hyperlink" Target="https://facebook.com/RaviKarunanayakeofficial" TargetMode="External"/><Relationship Id="rId216" Type="http://schemas.openxmlformats.org/officeDocument/2006/relationships/hyperlink" Target="https://facebook.com/iGABahrain" TargetMode="External"/><Relationship Id="rId423" Type="http://schemas.openxmlformats.org/officeDocument/2006/relationships/hyperlink" Target="https://facebook.com/primeminister.kz" TargetMode="External"/><Relationship Id="rId868" Type="http://schemas.openxmlformats.org/officeDocument/2006/relationships/hyperlink" Target="https://facebook.com/IsraeliPM.Arabic" TargetMode="External"/><Relationship Id="rId1053" Type="http://schemas.openxmlformats.org/officeDocument/2006/relationships/hyperlink" Target="https://facebook.com/presidenteraulcastro" TargetMode="External"/><Relationship Id="rId1260" Type="http://schemas.openxmlformats.org/officeDocument/2006/relationships/hyperlink" Target="https://facebook.com/diplomatie.gouv.ci" TargetMode="External"/><Relationship Id="rId630" Type="http://schemas.openxmlformats.org/officeDocument/2006/relationships/hyperlink" Target="https://facebook.com/ulissescorreiaesilva" TargetMode="External"/><Relationship Id="rId728" Type="http://schemas.openxmlformats.org/officeDocument/2006/relationships/hyperlink" Target="https://facebook.com/aungsansuukyi" TargetMode="External"/><Relationship Id="rId935" Type="http://schemas.openxmlformats.org/officeDocument/2006/relationships/hyperlink" Target="https://facebook.com/MFAAzerbaijan" TargetMode="External"/><Relationship Id="rId64" Type="http://schemas.openxmlformats.org/officeDocument/2006/relationships/hyperlink" Target="https://facebook.com/AndersSamuelsenLA" TargetMode="External"/><Relationship Id="rId367" Type="http://schemas.openxmlformats.org/officeDocument/2006/relationships/hyperlink" Target="https://facebook.com/PMOBhutan" TargetMode="External"/><Relationship Id="rId574" Type="http://schemas.openxmlformats.org/officeDocument/2006/relationships/hyperlink" Target="https://facebook.com/CharlesMichel" TargetMode="External"/><Relationship Id="rId1120" Type="http://schemas.openxmlformats.org/officeDocument/2006/relationships/hyperlink" Target="https://facebook.com/tcbasbakan" TargetMode="External"/><Relationship Id="rId1218" Type="http://schemas.openxmlformats.org/officeDocument/2006/relationships/hyperlink" Target="https://facebook.com/TheBlueHouseKR" TargetMode="External"/><Relationship Id="rId227" Type="http://schemas.openxmlformats.org/officeDocument/2006/relationships/hyperlink" Target="https://facebook.com/JBishopMP" TargetMode="External"/><Relationship Id="rId781" Type="http://schemas.openxmlformats.org/officeDocument/2006/relationships/hyperlink" Target="https://facebook.com/DonaldTrump" TargetMode="External"/><Relationship Id="rId879" Type="http://schemas.openxmlformats.org/officeDocument/2006/relationships/hyperlink" Target="https://facebook.com/JMSantos.Presidente" TargetMode="External"/><Relationship Id="rId434" Type="http://schemas.openxmlformats.org/officeDocument/2006/relationships/hyperlink" Target="https://facebook.com/RHCJO" TargetMode="External"/><Relationship Id="rId641" Type="http://schemas.openxmlformats.org/officeDocument/2006/relationships/hyperlink" Target="https://facebook.com/SimonCoveney" TargetMode="External"/><Relationship Id="rId739" Type="http://schemas.openxmlformats.org/officeDocument/2006/relationships/hyperlink" Target="https://facebook.com/borisjohnson" TargetMode="External"/><Relationship Id="rId1064" Type="http://schemas.openxmlformats.org/officeDocument/2006/relationships/hyperlink" Target="https://facebook.com/pressepresidentielle.rdc" TargetMode="External"/><Relationship Id="rId1271" Type="http://schemas.openxmlformats.org/officeDocument/2006/relationships/hyperlink" Target="https://facebook.com/rimbinkpatomp" TargetMode="External"/><Relationship Id="rId280" Type="http://schemas.openxmlformats.org/officeDocument/2006/relationships/hyperlink" Target="https://facebook.com/mevlutcavusoglu07" TargetMode="External"/><Relationship Id="rId501" Type="http://schemas.openxmlformats.org/officeDocument/2006/relationships/hyperlink" Target="https://facebook.com/Utenriksdepartementet" TargetMode="External"/><Relationship Id="rId946" Type="http://schemas.openxmlformats.org/officeDocument/2006/relationships/hyperlink" Target="https://facebook.com/mfaSlovenia" TargetMode="External"/><Relationship Id="rId1131" Type="http://schemas.openxmlformats.org/officeDocument/2006/relationships/hyperlink" Target="https://facebook.com/TunisieDiplo" TargetMode="External"/><Relationship Id="rId1229" Type="http://schemas.openxmlformats.org/officeDocument/2006/relationships/hyperlink" Target="https://facebook.com/palaciodoplanalto" TargetMode="External"/><Relationship Id="rId75" Type="http://schemas.openxmlformats.org/officeDocument/2006/relationships/hyperlink" Target="https://facebook.com/APNU.Guyana" TargetMode="External"/><Relationship Id="rId140" Type="http://schemas.openxmlformats.org/officeDocument/2006/relationships/hyperlink" Target="https://facebook.com/EdgarChagwaLungu" TargetMode="External"/><Relationship Id="rId378" Type="http://schemas.openxmlformats.org/officeDocument/2006/relationships/hyperlink" Target="https://facebook.com/Pres.Rouhani" TargetMode="External"/><Relationship Id="rId585" Type="http://schemas.openxmlformats.org/officeDocument/2006/relationships/hyperlink" Target="https://facebook.com/cdajoaolourenco" TargetMode="External"/><Relationship Id="rId792" Type="http://schemas.openxmlformats.org/officeDocument/2006/relationships/hyperlink" Target="https://facebook.com/egovkw" TargetMode="External"/><Relationship Id="rId806" Type="http://schemas.openxmlformats.org/officeDocument/2006/relationships/hyperlink" Target="https://facebook.com/f.mogherini" TargetMode="External"/><Relationship Id="rId6" Type="http://schemas.openxmlformats.org/officeDocument/2006/relationships/hyperlink" Target="https://facebook.com/LR-Vyriausyb&#279;-77276644149" TargetMode="External"/><Relationship Id="rId238" Type="http://schemas.openxmlformats.org/officeDocument/2006/relationships/hyperlink" Target="https://facebook.com/jzarif" TargetMode="External"/><Relationship Id="rId445" Type="http://schemas.openxmlformats.org/officeDocument/2006/relationships/hyperlink" Target="https://facebook.com/SarukaaruKhabaru" TargetMode="External"/><Relationship Id="rId652" Type="http://schemas.openxmlformats.org/officeDocument/2006/relationships/hyperlink" Target="https://facebook.com/Gouvernement-de-la-R%C3%A9publique-du-Burundi-1006449296051502" TargetMode="External"/><Relationship Id="rId1075" Type="http://schemas.openxmlformats.org/officeDocument/2006/relationships/hyperlink" Target="https://facebook.com/prmackysall" TargetMode="External"/><Relationship Id="rId1282" Type="http://schemas.openxmlformats.org/officeDocument/2006/relationships/hyperlink" Target="https://facebook.com/JOMAVpaginaoficial" TargetMode="External"/><Relationship Id="rId291" Type="http://schemas.openxmlformats.org/officeDocument/2006/relationships/hyperlink" Target="https://facebook.com/mfageorgia" TargetMode="External"/><Relationship Id="rId305" Type="http://schemas.openxmlformats.org/officeDocument/2006/relationships/hyperlink" Target="https://facebook.com/ministeriebz" TargetMode="External"/><Relationship Id="rId512" Type="http://schemas.openxmlformats.org/officeDocument/2006/relationships/hyperlink" Target="https://facebook.com/vucicaleksandar" TargetMode="External"/><Relationship Id="rId957" Type="http://schemas.openxmlformats.org/officeDocument/2006/relationships/hyperlink" Target="https://facebook.com/MinistryofForeignAffairsofI.R.Iran" TargetMode="External"/><Relationship Id="rId1142" Type="http://schemas.openxmlformats.org/officeDocument/2006/relationships/hyperlink" Target="https://facebook.com/ured.predsjednika.rh" TargetMode="External"/><Relationship Id="rId86" Type="http://schemas.openxmlformats.org/officeDocument/2006/relationships/hyperlink" Target="https://facebook.com/Belgium.be" TargetMode="External"/><Relationship Id="rId151" Type="http://schemas.openxmlformats.org/officeDocument/2006/relationships/hyperlink" Target="https://facebook.com/EstrategiayComunicacionesHn" TargetMode="External"/><Relationship Id="rId389" Type="http://schemas.openxmlformats.org/officeDocument/2006/relationships/hyperlink" Target="https://facebook.com/PresidenceSenegal" TargetMode="External"/><Relationship Id="rId596" Type="http://schemas.openxmlformats.org/officeDocument/2006/relationships/hyperlink" Target="https://facebook.com/BersetAlain" TargetMode="External"/><Relationship Id="rId817" Type="http://schemas.openxmlformats.org/officeDocument/2006/relationships/hyperlink" Target="https://facebook.com/france.diplomatie" TargetMode="External"/><Relationship Id="rId1002" Type="http://schemas.openxmlformats.org/officeDocument/2006/relationships/hyperlink" Target="https://facebook.com/PAGEOFFICIELLEIOG" TargetMode="External"/><Relationship Id="rId249" Type="http://schemas.openxmlformats.org/officeDocument/2006/relationships/hyperlink" Target="https://facebook.com/Kmassimov" TargetMode="External"/><Relationship Id="rId456" Type="http://schemas.openxmlformats.org/officeDocument/2006/relationships/hyperlink" Target="https://facebook.com/sourikantei" TargetMode="External"/><Relationship Id="rId663" Type="http://schemas.openxmlformats.org/officeDocument/2006/relationships/hyperlink" Target="https://facebook.com/MoFA-of-Indonesia-134183339948571" TargetMode="External"/><Relationship Id="rId870" Type="http://schemas.openxmlformats.org/officeDocument/2006/relationships/hyperlink" Target="https://facebook.com/IstanaUntukRakyat" TargetMode="External"/><Relationship Id="rId1086" Type="http://schemas.openxmlformats.org/officeDocument/2006/relationships/hyperlink" Target="https://facebook.com/rouhani.ir" TargetMode="External"/><Relationship Id="rId1293" Type="http://schemas.openxmlformats.org/officeDocument/2006/relationships/hyperlink" Target="https://facebook.com/Dr-the-Hon-Hubert-A-Minnis-61258077512" TargetMode="External"/><Relationship Id="rId1307" Type="http://schemas.openxmlformats.org/officeDocument/2006/relationships/hyperlink" Target="http://www.facebook.com/159985111389242" TargetMode="External"/><Relationship Id="rId13" Type="http://schemas.openxmlformats.org/officeDocument/2006/relationships/hyperlink" Target="https://facebook.com/Federal-Government-Communication-Affairs-Office-of-Ethiopia-349142568566343" TargetMode="External"/><Relationship Id="rId109" Type="http://schemas.openxmlformats.org/officeDocument/2006/relationships/hyperlink" Target="https://facebook.com/cg.gov.ma" TargetMode="External"/><Relationship Id="rId316" Type="http://schemas.openxmlformats.org/officeDocument/2006/relationships/hyperlink" Target="https://facebook.com/Mofa.Japan.en" TargetMode="External"/><Relationship Id="rId523" Type="http://schemas.openxmlformats.org/officeDocument/2006/relationships/hyperlink" Target="https://facebook.com/VillaSomaliaOfficial" TargetMode="External"/><Relationship Id="rId968" Type="http://schemas.openxmlformats.org/officeDocument/2006/relationships/hyperlink" Target="https://facebook.com/MOFA.Uganda" TargetMode="External"/><Relationship Id="rId1153" Type="http://schemas.openxmlformats.org/officeDocument/2006/relationships/hyperlink" Target="https://facebook.com/VarelaJC" TargetMode="External"/><Relationship Id="rId97" Type="http://schemas.openxmlformats.org/officeDocument/2006/relationships/hyperlink" Target="https://facebook.com/CancelariaRM" TargetMode="External"/><Relationship Id="rId730" Type="http://schemas.openxmlformats.org/officeDocument/2006/relationships/hyperlink" Target="https://facebook.com/AuswaertigesAmt" TargetMode="External"/><Relationship Id="rId828" Type="http://schemas.openxmlformats.org/officeDocument/2006/relationships/hyperlink" Target="https://facebook.com/gmicafghanistan" TargetMode="External"/><Relationship Id="rId1013" Type="http://schemas.openxmlformats.org/officeDocument/2006/relationships/hyperlink" Target="https://facebook.com/petroporoshenko" TargetMode="External"/><Relationship Id="rId162" Type="http://schemas.openxmlformats.org/officeDocument/2006/relationships/hyperlink" Target="https://facebook.com/ForeignMinistryJo" TargetMode="External"/><Relationship Id="rId467" Type="http://schemas.openxmlformats.org/officeDocument/2006/relationships/hyperlink" Target="https://facebook.com/SupportRooseveltSkerrit" TargetMode="External"/><Relationship Id="rId1097" Type="http://schemas.openxmlformats.org/officeDocument/2006/relationships/hyperlink" Target="https://facebook.com/sebastiankurz.at" TargetMode="External"/><Relationship Id="rId1220" Type="http://schemas.openxmlformats.org/officeDocument/2006/relationships/hyperlink" Target="https://facebook.com/predsednikrs" TargetMode="External"/><Relationship Id="rId674" Type="http://schemas.openxmlformats.org/officeDocument/2006/relationships/hyperlink" Target="https://facebook.com/Carlos-Agostinho-do-Ros&#225;rio-328165980711185" TargetMode="External"/><Relationship Id="rId881" Type="http://schemas.openxmlformats.org/officeDocument/2006/relationships/hyperlink" Target="https://facebook.com/josephmuscatdotcom" TargetMode="External"/><Relationship Id="rId979" Type="http://schemas.openxmlformats.org/officeDocument/2006/relationships/hyperlink" Target="https://facebook.com/MOTPGuyana" TargetMode="External"/><Relationship Id="rId24" Type="http://schemas.openxmlformats.org/officeDocument/2006/relationships/hyperlink" Target="https://facebook.com/Bakir-Izetbegovi%C4%87-142839432423177" TargetMode="External"/><Relationship Id="rId327" Type="http://schemas.openxmlformats.org/officeDocument/2006/relationships/hyperlink" Target="https://facebook.com/MOFANEPAL" TargetMode="External"/><Relationship Id="rId534" Type="http://schemas.openxmlformats.org/officeDocument/2006/relationships/hyperlink" Target="https://facebook.com/vensonBDP" TargetMode="External"/><Relationship Id="rId741" Type="http://schemas.openxmlformats.org/officeDocument/2006/relationships/hyperlink" Target="https://facebook.com/Botswana.Government" TargetMode="External"/><Relationship Id="rId839" Type="http://schemas.openxmlformats.org/officeDocument/2006/relationships/hyperlink" Target="https://facebook.com/govern.ad" TargetMode="External"/><Relationship Id="rId1164" Type="http://schemas.openxmlformats.org/officeDocument/2006/relationships/hyperlink" Target="https://facebook.com/WitoldWaszczykowski" TargetMode="External"/><Relationship Id="rId173" Type="http://schemas.openxmlformats.org/officeDocument/2006/relationships/hyperlink" Target="https://facebook.com/GebranBassil" TargetMode="External"/><Relationship Id="rId380" Type="http://schemas.openxmlformats.org/officeDocument/2006/relationships/hyperlink" Target="https://facebook.com/Presidence.du.Niger" TargetMode="External"/><Relationship Id="rId601" Type="http://schemas.openxmlformats.org/officeDocument/2006/relationships/hyperlink" Target="https://facebook.com/gweah" TargetMode="External"/><Relationship Id="rId1024" Type="http://schemas.openxmlformats.org/officeDocument/2006/relationships/hyperlink" Target="https://facebook.com/ppkoficial" TargetMode="External"/><Relationship Id="rId1231" Type="http://schemas.openxmlformats.org/officeDocument/2006/relationships/hyperlink" Target="https://facebook.com/detdanskekongehus" TargetMode="External"/><Relationship Id="rId240" Type="http://schemas.openxmlformats.org/officeDocument/2006/relationships/hyperlink" Target="https://facebook.com/kaminajsmith" TargetMode="External"/><Relationship Id="rId478" Type="http://schemas.openxmlformats.org/officeDocument/2006/relationships/hyperlink" Target="https://facebook.com/trpresidency" TargetMode="External"/><Relationship Id="rId685" Type="http://schemas.openxmlformats.org/officeDocument/2006/relationships/hyperlink" Target="https://facebook.com/Office-of-the-President-791067600945337" TargetMode="External"/><Relationship Id="rId892" Type="http://schemas.openxmlformats.org/officeDocument/2006/relationships/hyperlink" Target="https://facebook.com/KerstiKaljulaid" TargetMode="External"/><Relationship Id="rId906" Type="http://schemas.openxmlformats.org/officeDocument/2006/relationships/hyperlink" Target="https://facebook.com/LajcakMiroslav" TargetMode="External"/><Relationship Id="rId35" Type="http://schemas.openxmlformats.org/officeDocument/2006/relationships/hyperlink" Target="https://facebook.com/Ministry-of-Foreign-Affairs-Republic-of-Liberia-371689359570483" TargetMode="External"/><Relationship Id="rId100" Type="http://schemas.openxmlformats.org/officeDocument/2006/relationships/hyperlink" Target="https://facebook.com/CancilleriaCol" TargetMode="External"/><Relationship Id="rId338" Type="http://schemas.openxmlformats.org/officeDocument/2006/relationships/hyperlink" Target="https://facebook.com/nakufoaddo" TargetMode="External"/><Relationship Id="rId545" Type="http://schemas.openxmlformats.org/officeDocument/2006/relationships/hyperlink" Target="https://facebook.com/EdouardPhilippePM" TargetMode="External"/><Relationship Id="rId752" Type="http://schemas.openxmlformats.org/officeDocument/2006/relationships/hyperlink" Target="https://facebook.com/cancilleriapma" TargetMode="External"/><Relationship Id="rId1175" Type="http://schemas.openxmlformats.org/officeDocument/2006/relationships/hyperlink" Target="https://facebook.com/LeninMorenoEC" TargetMode="External"/><Relationship Id="rId184" Type="http://schemas.openxmlformats.org/officeDocument/2006/relationships/hyperlink" Target="https://facebook.com/gouvci.officiel" TargetMode="External"/><Relationship Id="rId391" Type="http://schemas.openxmlformats.org/officeDocument/2006/relationships/hyperlink" Target="https://facebook.com/Presidencia.cv" TargetMode="External"/><Relationship Id="rId405" Type="http://schemas.openxmlformats.org/officeDocument/2006/relationships/hyperlink" Target="https://facebook.com/pcoogov" TargetMode="External"/><Relationship Id="rId612" Type="http://schemas.openxmlformats.org/officeDocument/2006/relationships/hyperlink" Target="https://facebook.com/diplomatie.gov.mg" TargetMode="External"/><Relationship Id="rId1035" Type="http://schemas.openxmlformats.org/officeDocument/2006/relationships/hyperlink" Target="https://facebook.com/Presidencedugouvernementtunisien" TargetMode="External"/><Relationship Id="rId1242" Type="http://schemas.openxmlformats.org/officeDocument/2006/relationships/hyperlink" Target="https://facebook.com/%E6%B2%B3%E9%87%8E%E5%A4%AA%E9%83%8E-168727046514485/" TargetMode="External"/><Relationship Id="rId251" Type="http://schemas.openxmlformats.org/officeDocument/2006/relationships/hyperlink" Target="https://facebook.com/KolindaGrabarKitarovic" TargetMode="External"/><Relationship Id="rId489" Type="http://schemas.openxmlformats.org/officeDocument/2006/relationships/hyperlink" Target="https://facebook.com/UkraineMFA" TargetMode="External"/><Relationship Id="rId696" Type="http://schemas.openxmlformats.org/officeDocument/2006/relationships/hyperlink" Target="https://facebook.com/Emmanuel-Issoze-Ngondet-1705779776380977/" TargetMode="External"/><Relationship Id="rId917" Type="http://schemas.openxmlformats.org/officeDocument/2006/relationships/hyperlink" Target="https://facebook.com/maeie.md" TargetMode="External"/><Relationship Id="rId1102" Type="http://schemas.openxmlformats.org/officeDocument/2006/relationships/hyperlink" Target="https://facebook.com/sknismedia" TargetMode="External"/><Relationship Id="rId46" Type="http://schemas.openxmlformats.org/officeDocument/2006/relationships/hyperlink" Target="https://facebook.com/ThaigovSpokesman" TargetMode="External"/><Relationship Id="rId349" Type="http://schemas.openxmlformats.org/officeDocument/2006/relationships/hyperlink" Target="https://facebook.com/orbanviktor" TargetMode="External"/><Relationship Id="rId556" Type="http://schemas.openxmlformats.org/officeDocument/2006/relationships/hyperlink" Target="https://facebook.com/President.Mahmoud.Abbas" TargetMode="External"/><Relationship Id="rId763" Type="http://schemas.openxmlformats.org/officeDocument/2006/relationships/hyperlink" Target="https://facebook.com/ComunicadosGobiernodeHonduras" TargetMode="External"/><Relationship Id="rId1186" Type="http://schemas.openxmlformats.org/officeDocument/2006/relationships/hyperlink" Target="https://facebook.com/Somalia" TargetMode="External"/><Relationship Id="rId111" Type="http://schemas.openxmlformats.org/officeDocument/2006/relationships/hyperlink" Target="https://facebook.com/comradegonsalves" TargetMode="External"/><Relationship Id="rId195" Type="http://schemas.openxmlformats.org/officeDocument/2006/relationships/hyperlink" Target="https://facebook.com/govkorea" TargetMode="External"/><Relationship Id="rId209" Type="http://schemas.openxmlformats.org/officeDocument/2006/relationships/hyperlink" Target="https://facebook.com/heryvaovao" TargetMode="External"/><Relationship Id="rId416" Type="http://schemas.openxmlformats.org/officeDocument/2006/relationships/hyperlink" Target="https://facebook.com/pressslujbakg" TargetMode="External"/><Relationship Id="rId970" Type="http://schemas.openxmlformats.org/officeDocument/2006/relationships/hyperlink" Target="https://facebook.com/mofairlesotho" TargetMode="External"/><Relationship Id="rId1046" Type="http://schemas.openxmlformats.org/officeDocument/2006/relationships/hyperlink" Target="https://facebook.com/PresidenciaPy" TargetMode="External"/><Relationship Id="rId1253" Type="http://schemas.openxmlformats.org/officeDocument/2006/relationships/hyperlink" Target="https://facebook.com/Soumeylou-Boubeye-Maiga-252932994776447/" TargetMode="External"/><Relationship Id="rId220" Type="http://schemas.openxmlformats.org/officeDocument/2006/relationships/hyperlink" Target="https://facebook.com/IsraelMFA" TargetMode="External"/><Relationship Id="rId458" Type="http://schemas.openxmlformats.org/officeDocument/2006/relationships/hyperlink" Target="https://facebook.com/ssanchezceren" TargetMode="External"/><Relationship Id="rId623" Type="http://schemas.openxmlformats.org/officeDocument/2006/relationships/hyperlink" Target="https://facebook.com/CancilleriaVE" TargetMode="External"/><Relationship Id="rId665" Type="http://schemas.openxmlformats.org/officeDocument/2006/relationships/hyperlink" Target="https://facebook.com/Hilda-Heine-%C3%B1an-Aur-225121217531031" TargetMode="External"/><Relationship Id="rId830" Type="http://schemas.openxmlformats.org/officeDocument/2006/relationships/hyperlink" Target="https://facebook.com/gobiernodechile" TargetMode="External"/><Relationship Id="rId872" Type="http://schemas.openxmlformats.org/officeDocument/2006/relationships/hyperlink" Target="https://facebook.com/ItamaratyGovBr" TargetMode="External"/><Relationship Id="rId928" Type="http://schemas.openxmlformats.org/officeDocument/2006/relationships/hyperlink" Target="https://facebook.com/merrionstreet" TargetMode="External"/><Relationship Id="rId1088" Type="http://schemas.openxmlformats.org/officeDocument/2006/relationships/hyperlink" Target="https://facebook.com/RwandaGov" TargetMode="External"/><Relationship Id="rId1295" Type="http://schemas.openxmlformats.org/officeDocument/2006/relationships/hyperlink" Target="https://facebook.com/MinrelChile" TargetMode="External"/><Relationship Id="rId1309" Type="http://schemas.openxmlformats.org/officeDocument/2006/relationships/hyperlink" Target="http://www.facebook.com/581152442029393" TargetMode="External"/><Relationship Id="rId15" Type="http://schemas.openxmlformats.org/officeDocument/2006/relationships/hyperlink" Target="https://facebook.com/JOMAV-Presidente-580510255379054" TargetMode="External"/><Relationship Id="rId57" Type="http://schemas.openxmlformats.org/officeDocument/2006/relationships/hyperlink" Target="https://facebook.com/AkordaPress" TargetMode="External"/><Relationship Id="rId262" Type="http://schemas.openxmlformats.org/officeDocument/2006/relationships/hyperlink" Target="https://facebook.com/luisguillermosolisr" TargetMode="External"/><Relationship Id="rId318" Type="http://schemas.openxmlformats.org/officeDocument/2006/relationships/hyperlink" Target="https://facebook.com/mofa.pna" TargetMode="External"/><Relationship Id="rId525" Type="http://schemas.openxmlformats.org/officeDocument/2006/relationships/hyperlink" Target="https://facebook.com/Kancelaria-Prezydenta-RP-112191058856046" TargetMode="External"/><Relationship Id="rId567" Type="http://schemas.openxmlformats.org/officeDocument/2006/relationships/hyperlink" Target="https://facebook.com/Mirziyoyev" TargetMode="External"/><Relationship Id="rId732" Type="http://schemas.openxmlformats.org/officeDocument/2006/relationships/hyperlink" Target="https://facebook.com/BBYEGM" TargetMode="External"/><Relationship Id="rId1113" Type="http://schemas.openxmlformats.org/officeDocument/2006/relationships/hyperlink" Target="https://facebook.com/stefanlofven" TargetMode="External"/><Relationship Id="rId1155" Type="http://schemas.openxmlformats.org/officeDocument/2006/relationships/hyperlink" Target="https://facebook.com/Vivian.Balakrishnan.Sg" TargetMode="External"/><Relationship Id="rId1197" Type="http://schemas.openxmlformats.org/officeDocument/2006/relationships/hyperlink" Target="https://facebook.com/campaignforleo" TargetMode="External"/><Relationship Id="rId99" Type="http://schemas.openxmlformats.org/officeDocument/2006/relationships/hyperlink" Target="https://facebook.com/CancilleriaBolivia" TargetMode="External"/><Relationship Id="rId122" Type="http://schemas.openxmlformats.org/officeDocument/2006/relationships/hyperlink" Target="https://facebook.com/denmark.dk" TargetMode="External"/><Relationship Id="rId164" Type="http://schemas.openxmlformats.org/officeDocument/2006/relationships/hyperlink" Target="https://facebook.com/ForeignOfficeKE" TargetMode="External"/><Relationship Id="rId371" Type="http://schemas.openxmlformats.org/officeDocument/2006/relationships/hyperlink" Target="https://facebook.com/pmopressecoffice" TargetMode="External"/><Relationship Id="rId774" Type="http://schemas.openxmlformats.org/officeDocument/2006/relationships/hyperlink" Target="https://facebook.com/Diplomatie.Belgium" TargetMode="External"/><Relationship Id="rId981" Type="http://schemas.openxmlformats.org/officeDocument/2006/relationships/hyperlink" Target="https://facebook.com/MuhammaduBuhari" TargetMode="External"/><Relationship Id="rId1015" Type="http://schemas.openxmlformats.org/officeDocument/2006/relationships/hyperlink" Target="https://facebook.com/pm.gov.ly" TargetMode="External"/><Relationship Id="rId1057" Type="http://schemas.openxmlformats.org/officeDocument/2006/relationships/hyperlink" Target="https://facebook.com/PresidentIRL" TargetMode="External"/><Relationship Id="rId1222" Type="http://schemas.openxmlformats.org/officeDocument/2006/relationships/hyperlink" Target="https://facebook.com/mfcatt" TargetMode="External"/><Relationship Id="rId427" Type="http://schemas.openxmlformats.org/officeDocument/2006/relationships/hyperlink" Target="https://facebook.com/QueenRania" TargetMode="External"/><Relationship Id="rId469" Type="http://schemas.openxmlformats.org/officeDocument/2006/relationships/hyperlink" Target="https://facebook.com/SweMFA" TargetMode="External"/><Relationship Id="rId634" Type="http://schemas.openxmlformats.org/officeDocument/2006/relationships/hyperlink" Target="https://facebook.com/PresidentDrErnestBaiKoroma" TargetMode="External"/><Relationship Id="rId676" Type="http://schemas.openxmlformats.org/officeDocument/2006/relationships/hyperlink" Target="https://facebook.com/gouvernement.lu" TargetMode="External"/><Relationship Id="rId841" Type="http://schemas.openxmlformats.org/officeDocument/2006/relationships/hyperlink" Target="https://facebook.com/GovernmentZA" TargetMode="External"/><Relationship Id="rId883" Type="http://schemas.openxmlformats.org/officeDocument/2006/relationships/hyperlink" Target="https://facebook.com/juanorlandoh" TargetMode="External"/><Relationship Id="rId1099" Type="http://schemas.openxmlformats.org/officeDocument/2006/relationships/hyperlink" Target="https://facebook.com/Segegob" TargetMode="External"/><Relationship Id="rId1264" Type="http://schemas.openxmlformats.org/officeDocument/2006/relationships/hyperlink" Target="https://facebook.com/Bundeskanzleramt.gv.at" TargetMode="External"/><Relationship Id="rId26" Type="http://schemas.openxmlformats.org/officeDocument/2006/relationships/hyperlink" Target="https://facebook.com/didier-reynders-66985740526" TargetMode="External"/><Relationship Id="rId231" Type="http://schemas.openxmlformats.org/officeDocument/2006/relationships/hyperlink" Target="https://facebook.com/Jokowi" TargetMode="External"/><Relationship Id="rId273" Type="http://schemas.openxmlformats.org/officeDocument/2006/relationships/hyperlink" Target="https://facebook.com/MaltaGov" TargetMode="External"/><Relationship Id="rId329" Type="http://schemas.openxmlformats.org/officeDocument/2006/relationships/hyperlink" Target="https://facebook.com/Mofauae" TargetMode="External"/><Relationship Id="rId480" Type="http://schemas.openxmlformats.org/officeDocument/2006/relationships/hyperlink" Target="https://facebook.com/tsiprasalexis" TargetMode="External"/><Relationship Id="rId536" Type="http://schemas.openxmlformats.org/officeDocument/2006/relationships/hyperlink" Target="https://facebook.com/galumse" TargetMode="External"/><Relationship Id="rId701" Type="http://schemas.openxmlformats.org/officeDocument/2006/relationships/hyperlink" Target="https://facebook.com/aderjanos" TargetMode="External"/><Relationship Id="rId939" Type="http://schemas.openxmlformats.org/officeDocument/2006/relationships/hyperlink" Target="https://facebook.com/MFAEthiopia" TargetMode="External"/><Relationship Id="rId1124" Type="http://schemas.openxmlformats.org/officeDocument/2006/relationships/hyperlink" Target="https://facebook.com/ThaiMFA" TargetMode="External"/><Relationship Id="rId1166" Type="http://schemas.openxmlformats.org/officeDocument/2006/relationships/hyperlink" Target="https://facebook.com/www.Khamenei.ir" TargetMode="External"/><Relationship Id="rId68" Type="http://schemas.openxmlformats.org/officeDocument/2006/relationships/hyperlink" Target="https://facebook.com/andrzejduda" TargetMode="External"/><Relationship Id="rId133" Type="http://schemas.openxmlformats.org/officeDocument/2006/relationships/hyperlink" Target="https://facebook.com/Dr.AbdullahAbdullah" TargetMode="External"/><Relationship Id="rId175" Type="http://schemas.openxmlformats.org/officeDocument/2006/relationships/hyperlink" Target="https://facebook.com/ghanapresident" TargetMode="External"/><Relationship Id="rId340" Type="http://schemas.openxmlformats.org/officeDocument/2006/relationships/hyperlink" Target="https://facebook.com/narendramodi" TargetMode="External"/><Relationship Id="rId578" Type="http://schemas.openxmlformats.org/officeDocument/2006/relationships/hyperlink" Target="https://facebook.com/ShahriarAlamMp" TargetMode="External"/><Relationship Id="rId743" Type="http://schemas.openxmlformats.org/officeDocument/2006/relationships/hyperlink" Target="https://facebook.com/Bundesregierung" TargetMode="External"/><Relationship Id="rId785" Type="http://schemas.openxmlformats.org/officeDocument/2006/relationships/hyperlink" Target="https://facebook.com/Drensour" TargetMode="External"/><Relationship Id="rId950" Type="http://schemas.openxmlformats.org/officeDocument/2006/relationships/hyperlink" Target="https://facebook.com/MIDRussia" TargetMode="External"/><Relationship Id="rId992" Type="http://schemas.openxmlformats.org/officeDocument/2006/relationships/hyperlink" Target="https://facebook.com/NicosAnastasiades" TargetMode="External"/><Relationship Id="rId1026" Type="http://schemas.openxmlformats.org/officeDocument/2006/relationships/hyperlink" Target="https://facebook.com/prensapalacio" TargetMode="External"/><Relationship Id="rId200" Type="http://schemas.openxmlformats.org/officeDocument/2006/relationships/hyperlink" Target="https://facebook.com/guatemalagob" TargetMode="External"/><Relationship Id="rId382" Type="http://schemas.openxmlformats.org/officeDocument/2006/relationships/hyperlink" Target="https://facebook.com/Presidence.tn" TargetMode="External"/><Relationship Id="rId438" Type="http://schemas.openxmlformats.org/officeDocument/2006/relationships/hyperlink" Target="https://facebook.com/rrossello" TargetMode="External"/><Relationship Id="rId603" Type="http://schemas.openxmlformats.org/officeDocument/2006/relationships/hyperlink" Target="https://facebook.com/PM.Hailemariam" TargetMode="External"/><Relationship Id="rId645" Type="http://schemas.openxmlformats.org/officeDocument/2006/relationships/hyperlink" Target="https://facebook.com/Evo-Morales-Ayma-145070396007399" TargetMode="External"/><Relationship Id="rId687" Type="http://schemas.openxmlformats.org/officeDocument/2006/relationships/hyperlink" Target="https://facebook.com/Presidencia-de-la-Rep%C3%BAblica-de-Panama-529224993865914" TargetMode="External"/><Relationship Id="rId810" Type="http://schemas.openxmlformats.org/officeDocument/2006/relationships/hyperlink" Target="https://facebook.com/foreignaffarisnamibia" TargetMode="External"/><Relationship Id="rId852" Type="http://schemas.openxmlformats.org/officeDocument/2006/relationships/hyperlink" Target="https://facebook.com/GuvernulRepubliciiMoldova" TargetMode="External"/><Relationship Id="rId908" Type="http://schemas.openxmlformats.org/officeDocument/2006/relationships/hyperlink" Target="https://facebook.com/LatvianMFA" TargetMode="External"/><Relationship Id="rId1068" Type="http://schemas.openxmlformats.org/officeDocument/2006/relationships/hyperlink" Target="https://facebook.com/primatureRCA" TargetMode="External"/><Relationship Id="rId1233" Type="http://schemas.openxmlformats.org/officeDocument/2006/relationships/hyperlink" Target="https://facebook.com/HugoMartinezSV" TargetMode="External"/><Relationship Id="rId1275" Type="http://schemas.openxmlformats.org/officeDocument/2006/relationships/hyperlink" Target="https://facebook.com/MateuszMorawieckiPremier" TargetMode="External"/><Relationship Id="rId242" Type="http://schemas.openxmlformats.org/officeDocument/2006/relationships/hyperlink" Target="https://facebook.com/Kemlu.RI" TargetMode="External"/><Relationship Id="rId284" Type="http://schemas.openxmlformats.org/officeDocument/2006/relationships/hyperlink" Target="https://facebook.com/mfa.gr" TargetMode="External"/><Relationship Id="rId491" Type="http://schemas.openxmlformats.org/officeDocument/2006/relationships/hyperlink" Target="https://facebook.com/ulkoministerio" TargetMode="External"/><Relationship Id="rId505" Type="http://schemas.openxmlformats.org/officeDocument/2006/relationships/hyperlink" Target="https://facebook.com/Vbainimarama" TargetMode="External"/><Relationship Id="rId712" Type="http://schemas.openxmlformats.org/officeDocument/2006/relationships/hyperlink" Target="https://facebook.com/AlSisiofficial" TargetMode="External"/><Relationship Id="rId894" Type="http://schemas.openxmlformats.org/officeDocument/2006/relationships/hyperlink" Target="https://facebook.com/Khamenei.Es" TargetMode="External"/><Relationship Id="rId1135" Type="http://schemas.openxmlformats.org/officeDocument/2006/relationships/hyperlink" Target="https://facebook.com/UdenrigsministerietsBorgerservice" TargetMode="External"/><Relationship Id="rId1177" Type="http://schemas.openxmlformats.org/officeDocument/2006/relationships/hyperlink" Target="https://facebook.com/AdelkaderMessahel2016" TargetMode="External"/><Relationship Id="rId1300" Type="http://schemas.openxmlformats.org/officeDocument/2006/relationships/hyperlink" Target="http://www.facebook.com/181274814520" TargetMode="External"/><Relationship Id="rId37" Type="http://schemas.openxmlformats.org/officeDocument/2006/relationships/hyperlink" Target="https://facebook.com/Office-of-the-President-Republic-of-Botswana-752312678198295" TargetMode="External"/><Relationship Id="rId79" Type="http://schemas.openxmlformats.org/officeDocument/2006/relationships/hyperlink" Target="https://facebook.com/aungsansuukyi" TargetMode="External"/><Relationship Id="rId102" Type="http://schemas.openxmlformats.org/officeDocument/2006/relationships/hyperlink" Target="https://facebook.com/CancilleriaEcuador" TargetMode="External"/><Relationship Id="rId144" Type="http://schemas.openxmlformats.org/officeDocument/2006/relationships/hyperlink" Target="https://facebook.com/egovmaroc" TargetMode="External"/><Relationship Id="rId547" Type="http://schemas.openxmlformats.org/officeDocument/2006/relationships/hyperlink" Target="https://facebook.com/moonbyun1" TargetMode="External"/><Relationship Id="rId589" Type="http://schemas.openxmlformats.org/officeDocument/2006/relationships/hyperlink" Target="https://facebook.com/Ignazio-Cassis-486301424808499" TargetMode="External"/><Relationship Id="rId754" Type="http://schemas.openxmlformats.org/officeDocument/2006/relationships/hyperlink" Target="https://facebook.com/CasaPresidencial" TargetMode="External"/><Relationship Id="rId796" Type="http://schemas.openxmlformats.org/officeDocument/2006/relationships/hyperlink" Target="https://facebook.com/emansionliberia" TargetMode="External"/><Relationship Id="rId961" Type="http://schemas.openxmlformats.org/officeDocument/2006/relationships/hyperlink" Target="https://facebook.com/mirocerar.SMC" TargetMode="External"/><Relationship Id="rId1202" Type="http://schemas.openxmlformats.org/officeDocument/2006/relationships/hyperlink" Target="https://facebook.com/zaevzoran" TargetMode="External"/><Relationship Id="rId90" Type="http://schemas.openxmlformats.org/officeDocument/2006/relationships/hyperlink" Target="https://facebook.com/borisjohnson" TargetMode="External"/><Relationship Id="rId186" Type="http://schemas.openxmlformats.org/officeDocument/2006/relationships/hyperlink" Target="https://facebook.com/gouvernementcongobrazzaville" TargetMode="External"/><Relationship Id="rId351" Type="http://schemas.openxmlformats.org/officeDocument/2006/relationships/hyperlink" Target="https://facebook.com/TheAsoVilla" TargetMode="External"/><Relationship Id="rId393" Type="http://schemas.openxmlformats.org/officeDocument/2006/relationships/hyperlink" Target="https://facebook.com/PresidenciadePanama" TargetMode="External"/><Relationship Id="rId407" Type="http://schemas.openxmlformats.org/officeDocument/2006/relationships/hyperlink" Target="https://facebook.com/PresidentIlhamAliyev" TargetMode="External"/><Relationship Id="rId449" Type="http://schemas.openxmlformats.org/officeDocument/2006/relationships/hyperlink" Target="https://facebook.com/SecretariaDeRelacionesExterioresDeHonduras" TargetMode="External"/><Relationship Id="rId614" Type="http://schemas.openxmlformats.org/officeDocument/2006/relationships/hyperlink" Target="https://facebook.com/statehousemauritius" TargetMode="External"/><Relationship Id="rId656" Type="http://schemas.openxmlformats.org/officeDocument/2006/relationships/hyperlink" Target="https://facebook.com/Minist&#232;re-des-Affaires-Etrang&#232;res-et-des-Guin&#233;ens-de-lEtranger-898481620186007" TargetMode="External"/><Relationship Id="rId821" Type="http://schemas.openxmlformats.org/officeDocument/2006/relationships/hyperlink" Target="https://facebook.com/gaston.browne" TargetMode="External"/><Relationship Id="rId863" Type="http://schemas.openxmlformats.org/officeDocument/2006/relationships/hyperlink" Target="https://facebook.com/hunsencambodia" TargetMode="External"/><Relationship Id="rId1037" Type="http://schemas.openxmlformats.org/officeDocument/2006/relationships/hyperlink" Target="https://facebook.com/PresidenceRepubliqueGuinee" TargetMode="External"/><Relationship Id="rId1079" Type="http://schemas.openxmlformats.org/officeDocument/2006/relationships/hyperlink" Target="https://facebook.com/ratasjuri" TargetMode="External"/><Relationship Id="rId1244" Type="http://schemas.openxmlformats.org/officeDocument/2006/relationships/hyperlink" Target="https://facebook.com/ineeriksensoreide" TargetMode="External"/><Relationship Id="rId1286" Type="http://schemas.openxmlformats.org/officeDocument/2006/relationships/hyperlink" Target="https://facebook.com/MFAUZB" TargetMode="External"/><Relationship Id="rId211" Type="http://schemas.openxmlformats.org/officeDocument/2006/relationships/hyperlink" Target="https://facebook.com/HHSheikhMohammed" TargetMode="External"/><Relationship Id="rId253" Type="http://schemas.openxmlformats.org/officeDocument/2006/relationships/hyperlink" Target="https://facebook.com/kormanyzat" TargetMode="External"/><Relationship Id="rId295" Type="http://schemas.openxmlformats.org/officeDocument/2006/relationships/hyperlink" Target="https://facebook.com/mfamongoliaENG" TargetMode="External"/><Relationship Id="rId309" Type="http://schemas.openxmlformats.org/officeDocument/2006/relationships/hyperlink" Target="https://facebook.com/MinistryOfForeignAffairsOfVietnam" TargetMode="External"/><Relationship Id="rId460" Type="http://schemas.openxmlformats.org/officeDocument/2006/relationships/hyperlink" Target="https://facebook.com/StateHouseMw" TargetMode="External"/><Relationship Id="rId516" Type="http://schemas.openxmlformats.org/officeDocument/2006/relationships/hyperlink" Target="https://facebook.com/www.foreignaffairs.gov.ng" TargetMode="External"/><Relationship Id="rId698" Type="http://schemas.openxmlformats.org/officeDocument/2006/relationships/hyperlink" Target="https://facebook.com/a2iBangladesh" TargetMode="External"/><Relationship Id="rId919" Type="http://schemas.openxmlformats.org/officeDocument/2006/relationships/hyperlink" Target="https://facebook.com/maithripalas" TargetMode="External"/><Relationship Id="rId1090" Type="http://schemas.openxmlformats.org/officeDocument/2006/relationships/hyperlink" Target="https://facebook.com/SaintLuciaGovernment" TargetMode="External"/><Relationship Id="rId1104" Type="http://schemas.openxmlformats.org/officeDocument/2006/relationships/hyperlink" Target="https://facebook.com/somalipm" TargetMode="External"/><Relationship Id="rId1146" Type="http://schemas.openxmlformats.org/officeDocument/2006/relationships/hyperlink" Target="https://facebook.com/usaporusski" TargetMode="External"/><Relationship Id="rId1311" Type="http://schemas.openxmlformats.org/officeDocument/2006/relationships/hyperlink" Target="http://www.facebook.com/1910787798948873" TargetMode="External"/><Relationship Id="rId48" Type="http://schemas.openxmlformats.org/officeDocument/2006/relationships/hyperlink" Target="https://facebook.com/10downingstreet" TargetMode="External"/><Relationship Id="rId113" Type="http://schemas.openxmlformats.org/officeDocument/2006/relationships/hyperlink" Target="https://facebook.com/comunicacionespresidencia" TargetMode="External"/><Relationship Id="rId320" Type="http://schemas.openxmlformats.org/officeDocument/2006/relationships/hyperlink" Target="https://facebook.com/mofabdpage" TargetMode="External"/><Relationship Id="rId558" Type="http://schemas.openxmlformats.org/officeDocument/2006/relationships/hyperlink" Target="https://facebook.com/RaviKarunanayakeofficial" TargetMode="External"/><Relationship Id="rId723" Type="http://schemas.openxmlformats.org/officeDocument/2006/relationships/hyperlink" Target="https://facebook.com/APMutharika" TargetMode="External"/><Relationship Id="rId765" Type="http://schemas.openxmlformats.org/officeDocument/2006/relationships/hyperlink" Target="https://facebook.com/CubaMINREX" TargetMode="External"/><Relationship Id="rId930" Type="http://schemas.openxmlformats.org/officeDocument/2006/relationships/hyperlink" Target="https://facebook.com/mfa.afghanistan" TargetMode="External"/><Relationship Id="rId972" Type="http://schemas.openxmlformats.org/officeDocument/2006/relationships/hyperlink" Target="https://facebook.com/mofakr.eng" TargetMode="External"/><Relationship Id="rId1006" Type="http://schemas.openxmlformats.org/officeDocument/2006/relationships/hyperlink" Target="https://facebook.com/Palestine.PMO" TargetMode="External"/><Relationship Id="rId1188" Type="http://schemas.openxmlformats.org/officeDocument/2006/relationships/hyperlink" Target="https://facebook.com/gouvbenin" TargetMode="External"/><Relationship Id="rId155" Type="http://schemas.openxmlformats.org/officeDocument/2006/relationships/hyperlink" Target="https://facebook.com/EuropeanExternalActionService" TargetMode="External"/><Relationship Id="rId197" Type="http://schemas.openxmlformats.org/officeDocument/2006/relationships/hyperlink" Target="https://facebook.com/GovtPressSec" TargetMode="External"/><Relationship Id="rId362" Type="http://schemas.openxmlformats.org/officeDocument/2006/relationships/hyperlink" Target="https://facebook.com/Pavel.FilipPM" TargetMode="External"/><Relationship Id="rId418" Type="http://schemas.openxmlformats.org/officeDocument/2006/relationships/hyperlink" Target="https://facebook.com/PrimatureHaitienne" TargetMode="External"/><Relationship Id="rId625" Type="http://schemas.openxmlformats.org/officeDocument/2006/relationships/hyperlink" Target="https://facebook.com/urministerija" TargetMode="External"/><Relationship Id="rId832" Type="http://schemas.openxmlformats.org/officeDocument/2006/relationships/hyperlink" Target="https://facebook.com/GOBPressOffice" TargetMode="External"/><Relationship Id="rId1048" Type="http://schemas.openxmlformats.org/officeDocument/2006/relationships/hyperlink" Target="https://facebook.com/presidencymv" TargetMode="External"/><Relationship Id="rId1213" Type="http://schemas.openxmlformats.org/officeDocument/2006/relationships/hyperlink" Target="https://facebook.com/kancelaria.premiera" TargetMode="External"/><Relationship Id="rId1255" Type="http://schemas.openxmlformats.org/officeDocument/2006/relationships/hyperlink" Target="https://facebook.com/maeciia1960" TargetMode="External"/><Relationship Id="rId1297" Type="http://schemas.openxmlformats.org/officeDocument/2006/relationships/hyperlink" Target="https://facebook.com/LindiweSisuluSA" TargetMode="External"/><Relationship Id="rId222" Type="http://schemas.openxmlformats.org/officeDocument/2006/relationships/hyperlink" Target="https://facebook.com/ItalyMFA.it" TargetMode="External"/><Relationship Id="rId264" Type="http://schemas.openxmlformats.org/officeDocument/2006/relationships/hyperlink" Target="https://facebook.com/MadaxweynahaJFS" TargetMode="External"/><Relationship Id="rId471" Type="http://schemas.openxmlformats.org/officeDocument/2006/relationships/hyperlink" Target="https://facebook.com/tcbasbakan" TargetMode="External"/><Relationship Id="rId667" Type="http://schemas.openxmlformats.org/officeDocument/2006/relationships/hyperlink" Target="https://facebook.com/Sheikh-Mohamed-bin-Zayed-bin-Sultan-Al-Nahyan-1631139903865661" TargetMode="External"/><Relationship Id="rId874" Type="http://schemas.openxmlformats.org/officeDocument/2006/relationships/hyperlink" Target="https://facebook.com/Japan.PMO" TargetMode="External"/><Relationship Id="rId1115" Type="http://schemas.openxmlformats.org/officeDocument/2006/relationships/hyperlink" Target="https://facebook.com/supportfrancinebaron" TargetMode="External"/><Relationship Id="rId17" Type="http://schemas.openxmlformats.org/officeDocument/2006/relationships/hyperlink" Target="https://facebook.com/Sultan-of-Brunei-Hassanal-Bolkiah-203783963024091" TargetMode="External"/><Relationship Id="rId59" Type="http://schemas.openxmlformats.org/officeDocument/2006/relationships/hyperlink" Target="https://facebook.com/alibongoondimba" TargetMode="External"/><Relationship Id="rId124" Type="http://schemas.openxmlformats.org/officeDocument/2006/relationships/hyperlink" Target="https://facebook.com/dfaphl" TargetMode="External"/><Relationship Id="rId527" Type="http://schemas.openxmlformats.org/officeDocument/2006/relationships/hyperlink" Target="https://facebook.com/saadhariri" TargetMode="External"/><Relationship Id="rId569" Type="http://schemas.openxmlformats.org/officeDocument/2006/relationships/hyperlink" Target="https://facebook.com/TheBlueHouseKR" TargetMode="External"/><Relationship Id="rId734" Type="http://schemas.openxmlformats.org/officeDocument/2006/relationships/hyperlink" Target="https://facebook.com/BejiCEOfficial" TargetMode="External"/><Relationship Id="rId776" Type="http://schemas.openxmlformats.org/officeDocument/2006/relationships/hyperlink" Target="https://facebook.com/Disisleri" TargetMode="External"/><Relationship Id="rId941" Type="http://schemas.openxmlformats.org/officeDocument/2006/relationships/hyperlink" Target="https://facebook.com/mfaic.gov.kh" TargetMode="External"/><Relationship Id="rId983" Type="http://schemas.openxmlformats.org/officeDocument/2006/relationships/hyperlink" Target="https://facebook.com/myuhurukenyatta" TargetMode="External"/><Relationship Id="rId1157" Type="http://schemas.openxmlformats.org/officeDocument/2006/relationships/hyperlink" Target="https://facebook.com/vladaOCDrs" TargetMode="External"/><Relationship Id="rId1199" Type="http://schemas.openxmlformats.org/officeDocument/2006/relationships/hyperlink" Target="https://facebook.com/abelacarmelo" TargetMode="External"/><Relationship Id="rId70" Type="http://schemas.openxmlformats.org/officeDocument/2006/relationships/hyperlink" Target="https://facebook.com/angelinoalfano.it" TargetMode="External"/><Relationship Id="rId166" Type="http://schemas.openxmlformats.org/officeDocument/2006/relationships/hyperlink" Target="https://facebook.com/fortalezaproficial" TargetMode="External"/><Relationship Id="rId331" Type="http://schemas.openxmlformats.org/officeDocument/2006/relationships/hyperlink" Target="https://facebook.com/mreparaguay" TargetMode="External"/><Relationship Id="rId373" Type="http://schemas.openxmlformats.org/officeDocument/2006/relationships/hyperlink" Target="https://facebook.com/portalbrasil" TargetMode="External"/><Relationship Id="rId429" Type="http://schemas.openxmlformats.org/officeDocument/2006/relationships/hyperlink" Target="https://facebook.com/ranil.wickremesinghe.leader" TargetMode="External"/><Relationship Id="rId580" Type="http://schemas.openxmlformats.org/officeDocument/2006/relationships/hyperlink" Target="https://facebook.com/palaciodoplanalto" TargetMode="External"/><Relationship Id="rId636" Type="http://schemas.openxmlformats.org/officeDocument/2006/relationships/hyperlink" Target="https://facebook.com/U-Htin-Kyaw-1097909980337498" TargetMode="External"/><Relationship Id="rId801" Type="http://schemas.openxmlformats.org/officeDocument/2006/relationships/hyperlink" Target="https://facebook.com/eucouncil" TargetMode="External"/><Relationship Id="rId1017" Type="http://schemas.openxmlformats.org/officeDocument/2006/relationships/hyperlink" Target="https://facebook.com/PMOIndia" TargetMode="External"/><Relationship Id="rId1059" Type="http://schemas.openxmlformats.org/officeDocument/2006/relationships/hyperlink" Target="https://facebook.com/PresidentOfficeRMI" TargetMode="External"/><Relationship Id="rId1224" Type="http://schemas.openxmlformats.org/officeDocument/2006/relationships/hyperlink" Target="https://facebook.com/PalauPresident" TargetMode="External"/><Relationship Id="rId1266" Type="http://schemas.openxmlformats.org/officeDocument/2006/relationships/hyperlink" Target="https://facebook.com/MNEdePortugal" TargetMode="External"/><Relationship Id="rId1" Type="http://schemas.openxmlformats.org/officeDocument/2006/relationships/hyperlink" Target="https://facebook.com/Primature-Lapani-Mahazoarivo-727643947321702" TargetMode="External"/><Relationship Id="rId233" Type="http://schemas.openxmlformats.org/officeDocument/2006/relationships/hyperlink" Target="https://facebook.com/jovenelmoise" TargetMode="External"/><Relationship Id="rId440" Type="http://schemas.openxmlformats.org/officeDocument/2006/relationships/hyperlink" Target="https://facebook.com/SAIBABABUHARI" TargetMode="External"/><Relationship Id="rId678" Type="http://schemas.openxmlformats.org/officeDocument/2006/relationships/hyperlink" Target="https://facebook.com/Hon-Freundel-J-Stuart-QC-MP-161612180563912" TargetMode="External"/><Relationship Id="rId843" Type="http://schemas.openxmlformats.org/officeDocument/2006/relationships/hyperlink" Target="https://facebook.com/govgr" TargetMode="External"/><Relationship Id="rId885" Type="http://schemas.openxmlformats.org/officeDocument/2006/relationships/hyperlink" Target="https://facebook.com/JunckerEU" TargetMode="External"/><Relationship Id="rId1070" Type="http://schemas.openxmlformats.org/officeDocument/2006/relationships/hyperlink" Target="https://facebook.com/primeminister.int" TargetMode="External"/><Relationship Id="rId1126" Type="http://schemas.openxmlformats.org/officeDocument/2006/relationships/hyperlink" Target="https://facebook.com/TheresaMayOfficial" TargetMode="External"/><Relationship Id="rId28" Type="http://schemas.openxmlformats.org/officeDocument/2006/relationships/hyperlink" Target="https://facebook.com/Government-of-Kenya-280212665505125" TargetMode="External"/><Relationship Id="rId275" Type="http://schemas.openxmlformats.org/officeDocument/2006/relationships/hyperlink" Target="https://facebook.com/margot.wallstrom" TargetMode="External"/><Relationship Id="rId300" Type="http://schemas.openxmlformats.org/officeDocument/2006/relationships/hyperlink" Target="https://facebook.com/MichelTemer" TargetMode="External"/><Relationship Id="rId482" Type="http://schemas.openxmlformats.org/officeDocument/2006/relationships/hyperlink" Target="https://facebook.com/TunisieDiplo" TargetMode="External"/><Relationship Id="rId538" Type="http://schemas.openxmlformats.org/officeDocument/2006/relationships/hyperlink" Target="https://facebook.com/benindiplomatie" TargetMode="External"/><Relationship Id="rId703" Type="http://schemas.openxmlformats.org/officeDocument/2006/relationships/hyperlink" Target="https://facebook.com/adrian.hasler1964" TargetMode="External"/><Relationship Id="rId745" Type="http://schemas.openxmlformats.org/officeDocument/2006/relationships/hyperlink" Target="https://facebook.com/CanadaPE" TargetMode="External"/><Relationship Id="rId910" Type="http://schemas.openxmlformats.org/officeDocument/2006/relationships/hyperlink" Target="https://facebook.com/LibyanGovernment" TargetMode="External"/><Relationship Id="rId952" Type="http://schemas.openxmlformats.org/officeDocument/2006/relationships/hyperlink" Target="https://facebook.com/minex.guatemala.9" TargetMode="External"/><Relationship Id="rId1168" Type="http://schemas.openxmlformats.org/officeDocument/2006/relationships/hyperlink" Target="https://facebook.com/www.primature.gov.rw" TargetMode="External"/><Relationship Id="rId81" Type="http://schemas.openxmlformats.org/officeDocument/2006/relationships/hyperlink" Target="https://facebook.com/AuswaertigesAmt" TargetMode="External"/><Relationship Id="rId135" Type="http://schemas.openxmlformats.org/officeDocument/2006/relationships/hyperlink" Target="https://facebook.com/Dr.AureliaFrick" TargetMode="External"/><Relationship Id="rId177" Type="http://schemas.openxmlformats.org/officeDocument/2006/relationships/hyperlink" Target="https://facebook.com/GISgrenada" TargetMode="External"/><Relationship Id="rId342" Type="http://schemas.openxmlformats.org/officeDocument/2006/relationships/hyperlink" Target="https://facebook.com/NicolasMaduro" TargetMode="External"/><Relationship Id="rId384" Type="http://schemas.openxmlformats.org/officeDocument/2006/relationships/hyperlink" Target="https://facebook.com/PresidenceBurundi" TargetMode="External"/><Relationship Id="rId591" Type="http://schemas.openxmlformats.org/officeDocument/2006/relationships/hyperlink" Target="https://facebook.com/ukhurelsukh/" TargetMode="External"/><Relationship Id="rId605" Type="http://schemas.openxmlformats.org/officeDocument/2006/relationships/hyperlink" Target="https://facebook.com/Tieman-Hubert-Coulibaly-THC-780940372005195" TargetMode="External"/><Relationship Id="rId787" Type="http://schemas.openxmlformats.org/officeDocument/2006/relationships/hyperlink" Target="https://facebook.com/drkeithcmitchell" TargetMode="External"/><Relationship Id="rId812" Type="http://schemas.openxmlformats.org/officeDocument/2006/relationships/hyperlink" Target="https://facebook.com/foreignoffice" TargetMode="External"/><Relationship Id="rId994" Type="http://schemas.openxmlformats.org/officeDocument/2006/relationships/hyperlink" Target="https://facebook.com/NyusiConfioemti" TargetMode="External"/><Relationship Id="rId1028" Type="http://schemas.openxmlformats.org/officeDocument/2006/relationships/hyperlink" Target="https://facebook.com/Presidence.bf" TargetMode="External"/><Relationship Id="rId1235" Type="http://schemas.openxmlformats.org/officeDocument/2006/relationships/hyperlink" Target="https://facebook.com/khawaja.asif.official" TargetMode="External"/><Relationship Id="rId202" Type="http://schemas.openxmlformats.org/officeDocument/2006/relationships/hyperlink" Target="https://facebook.com/guv.ro" TargetMode="External"/><Relationship Id="rId244" Type="http://schemas.openxmlformats.org/officeDocument/2006/relationships/hyperlink" Target="https://facebook.com/khadamotimatbuot" TargetMode="External"/><Relationship Id="rId647" Type="http://schemas.openxmlformats.org/officeDocument/2006/relationships/hyperlink" Target="https://facebook.com/Brigadier-David-Granger-136913633027025" TargetMode="External"/><Relationship Id="rId689" Type="http://schemas.openxmlformats.org/officeDocument/2006/relationships/hyperlink" Target="https://facebook.com/Regierung-des-F%C3%BCrstentums-Liechtenstein-1411588962478507" TargetMode="External"/><Relationship Id="rId854" Type="http://schemas.openxmlformats.org/officeDocument/2006/relationships/hyperlink" Target="https://facebook.com/haider.alabadi.iraq" TargetMode="External"/><Relationship Id="rId896" Type="http://schemas.openxmlformats.org/officeDocument/2006/relationships/hyperlink" Target="https://facebook.com/KingJigmeKhesar" TargetMode="External"/><Relationship Id="rId1081" Type="http://schemas.openxmlformats.org/officeDocument/2006/relationships/hyperlink" Target="https://facebook.com/RecepTayyipErdogan" TargetMode="External"/><Relationship Id="rId1277" Type="http://schemas.openxmlformats.org/officeDocument/2006/relationships/hyperlink" Target="https://facebook.com/Ahmed-Ouyahia-%D8%A7%D9%84%D9%88%D8%B2%D9%8A%D8%B1-%D8%A7%D9%84%D8%A3%D9%88%D9%84-517608345237500" TargetMode="External"/><Relationship Id="rId1302" Type="http://schemas.openxmlformats.org/officeDocument/2006/relationships/hyperlink" Target="http://www.facebook.com/488183977871744" TargetMode="External"/><Relationship Id="rId39" Type="http://schemas.openxmlformats.org/officeDocument/2006/relationships/hyperlink" Target="https://facebook.com/Quirinale-1531737037092929" TargetMode="External"/><Relationship Id="rId286" Type="http://schemas.openxmlformats.org/officeDocument/2006/relationships/hyperlink" Target="https://facebook.com/MFAAzerbaijan" TargetMode="External"/><Relationship Id="rId451" Type="http://schemas.openxmlformats.org/officeDocument/2006/relationships/hyperlink" Target="https://facebook.com/Setkabgoid" TargetMode="External"/><Relationship Id="rId493" Type="http://schemas.openxmlformats.org/officeDocument/2006/relationships/hyperlink" Target="https://facebook.com/ured.predsjednika.rh" TargetMode="External"/><Relationship Id="rId507" Type="http://schemas.openxmlformats.org/officeDocument/2006/relationships/hyperlink" Target="https://facebook.com/VladaMK" TargetMode="External"/><Relationship Id="rId549" Type="http://schemas.openxmlformats.org/officeDocument/2006/relationships/hyperlink" Target="https://facebook.com/segreteriaaffariesteriSM" TargetMode="External"/><Relationship Id="rId714" Type="http://schemas.openxmlformats.org/officeDocument/2006/relationships/hyperlink" Target="https://facebook.com/andrej.plenkovic.rh" TargetMode="External"/><Relationship Id="rId756" Type="http://schemas.openxmlformats.org/officeDocument/2006/relationships/hyperlink" Target="https://facebook.com/casarosadaargentina" TargetMode="External"/><Relationship Id="rId921" Type="http://schemas.openxmlformats.org/officeDocument/2006/relationships/hyperlink" Target="https://facebook.com/malcolmturnbull" TargetMode="External"/><Relationship Id="rId1137" Type="http://schemas.openxmlformats.org/officeDocument/2006/relationships/hyperlink" Target="https://facebook.com/Ukgovernment" TargetMode="External"/><Relationship Id="rId1179" Type="http://schemas.openxmlformats.org/officeDocument/2006/relationships/hyperlink" Target="https://facebook.com/Paulkaba.2016" TargetMode="External"/><Relationship Id="rId50" Type="http://schemas.openxmlformats.org/officeDocument/2006/relationships/hyperlink" Target="https://facebook.com/aagbenonci" TargetMode="External"/><Relationship Id="rId104" Type="http://schemas.openxmlformats.org/officeDocument/2006/relationships/hyperlink" Target="https://facebook.com/CancilleriaPeru" TargetMode="External"/><Relationship Id="rId146" Type="http://schemas.openxmlformats.org/officeDocument/2006/relationships/hyperlink" Target="https://facebook.com/elysee.fr" TargetMode="External"/><Relationship Id="rId188" Type="http://schemas.openxmlformats.org/officeDocument/2006/relationships/hyperlink" Target="https://facebook.com/gov.sg" TargetMode="External"/><Relationship Id="rId311" Type="http://schemas.openxmlformats.org/officeDocument/2006/relationships/hyperlink" Target="https://facebook.com/MIREXR" TargetMode="External"/><Relationship Id="rId353" Type="http://schemas.openxmlformats.org/officeDocument/2006/relationships/hyperlink" Target="https://facebook.com/PAGEOFFICIELLEIOG" TargetMode="External"/><Relationship Id="rId395" Type="http://schemas.openxmlformats.org/officeDocument/2006/relationships/hyperlink" Target="https://facebook.com/PresidenciaMX" TargetMode="External"/><Relationship Id="rId409" Type="http://schemas.openxmlformats.org/officeDocument/2006/relationships/hyperlink" Target="https://facebook.com/PresidentMargvelashvili" TargetMode="External"/><Relationship Id="rId560" Type="http://schemas.openxmlformats.org/officeDocument/2006/relationships/hyperlink" Target="https://facebook.com/DarrenAHenfieldFNM" TargetMode="External"/><Relationship Id="rId798" Type="http://schemas.openxmlformats.org/officeDocument/2006/relationships/hyperlink" Target="https://facebook.com/EnriquePN" TargetMode="External"/><Relationship Id="rId963" Type="http://schemas.openxmlformats.org/officeDocument/2006/relationships/hyperlink" Target="https://facebook.com/MOFA.IQ" TargetMode="External"/><Relationship Id="rId1039" Type="http://schemas.openxmlformats.org/officeDocument/2006/relationships/hyperlink" Target="https://facebook.com/PresidenceTG" TargetMode="External"/><Relationship Id="rId1190" Type="http://schemas.openxmlformats.org/officeDocument/2006/relationships/hyperlink" Target="https://facebook.com/TVMelescanu" TargetMode="External"/><Relationship Id="rId1204" Type="http://schemas.openxmlformats.org/officeDocument/2006/relationships/hyperlink" Target="https://facebook.com/MFAMacedonia" TargetMode="External"/><Relationship Id="rId1246" Type="http://schemas.openxmlformats.org/officeDocument/2006/relationships/hyperlink" Target="https://facebook.com/jacindaardern" TargetMode="External"/><Relationship Id="rId92" Type="http://schemas.openxmlformats.org/officeDocument/2006/relationships/hyperlink" Target="https://facebook.com/Botswana.Government" TargetMode="External"/><Relationship Id="rId213" Type="http://schemas.openxmlformats.org/officeDocument/2006/relationships/hyperlink" Target="https://facebook.com/HukoomiQatar" TargetMode="External"/><Relationship Id="rId420" Type="http://schemas.openxmlformats.org/officeDocument/2006/relationships/hyperlink" Target="https://facebook.com/PrimatureRDCongo" TargetMode="External"/><Relationship Id="rId616" Type="http://schemas.openxmlformats.org/officeDocument/2006/relationships/hyperlink" Target="https://facebook.com/TudorUlianovschi" TargetMode="External"/><Relationship Id="rId658" Type="http://schemas.openxmlformats.org/officeDocument/2006/relationships/hyperlink" Target="https://facebook.com/Office-of-the-Prime-Minister-Belize-317057388365804" TargetMode="External"/><Relationship Id="rId823" Type="http://schemas.openxmlformats.org/officeDocument/2006/relationships/hyperlink" Target="https://facebook.com/GeorgianGovernment" TargetMode="External"/><Relationship Id="rId865" Type="http://schemas.openxmlformats.org/officeDocument/2006/relationships/hyperlink" Target="https://facebook.com/iGABahrain" TargetMode="External"/><Relationship Id="rId1050" Type="http://schemas.openxmlformats.org/officeDocument/2006/relationships/hyperlink" Target="https://facebook.com/President.bg" TargetMode="External"/><Relationship Id="rId1288" Type="http://schemas.openxmlformats.org/officeDocument/2006/relationships/hyperlink" Target="https://facebook.com/Bundespraesident.Steinmeier" TargetMode="External"/><Relationship Id="rId255" Type="http://schemas.openxmlformats.org/officeDocument/2006/relationships/hyperlink" Target="https://facebook.com/Kungahuset" TargetMode="External"/><Relationship Id="rId297" Type="http://schemas.openxmlformats.org/officeDocument/2006/relationships/hyperlink" Target="https://facebook.com/mfaSlovenia" TargetMode="External"/><Relationship Id="rId462" Type="http://schemas.openxmlformats.org/officeDocument/2006/relationships/hyperlink" Target="https://facebook.com/StateHouseSey" TargetMode="External"/><Relationship Id="rId518" Type="http://schemas.openxmlformats.org/officeDocument/2006/relationships/hyperlink" Target="https://facebook.com/www.primature.gov.ml" TargetMode="External"/><Relationship Id="rId725" Type="http://schemas.openxmlformats.org/officeDocument/2006/relationships/hyperlink" Target="https://facebook.com/ar.khamenei" TargetMode="External"/><Relationship Id="rId932" Type="http://schemas.openxmlformats.org/officeDocument/2006/relationships/hyperlink" Target="https://facebook.com/mfa.gov.sd" TargetMode="External"/><Relationship Id="rId1092" Type="http://schemas.openxmlformats.org/officeDocument/2006/relationships/hyperlink" Target="https://facebook.com/samoagovt" TargetMode="External"/><Relationship Id="rId1106" Type="http://schemas.openxmlformats.org/officeDocument/2006/relationships/hyperlink" Target="https://facebook.com/SREMX" TargetMode="External"/><Relationship Id="rId1148" Type="http://schemas.openxmlformats.org/officeDocument/2006/relationships/hyperlink" Target="https://facebook.com/usdos" TargetMode="External"/><Relationship Id="rId1313" Type="http://schemas.openxmlformats.org/officeDocument/2006/relationships/hyperlink" Target="http://www.facebook.com/1439930922734351" TargetMode="External"/><Relationship Id="rId115" Type="http://schemas.openxmlformats.org/officeDocument/2006/relationships/hyperlink" Target="https://facebook.com/courgrandducale" TargetMode="External"/><Relationship Id="rId157" Type="http://schemas.openxmlformats.org/officeDocument/2006/relationships/hyperlink" Target="https://facebook.com/f.mogherini" TargetMode="External"/><Relationship Id="rId322" Type="http://schemas.openxmlformats.org/officeDocument/2006/relationships/hyperlink" Target="https://facebook.com/mofaisb" TargetMode="External"/><Relationship Id="rId364" Type="http://schemas.openxmlformats.org/officeDocument/2006/relationships/hyperlink" Target="https://facebook.com/petroporoshenko" TargetMode="External"/><Relationship Id="rId767" Type="http://schemas.openxmlformats.org/officeDocument/2006/relationships/hyperlink" Target="https://facebook.com/D.Grybauskaite" TargetMode="External"/><Relationship Id="rId974" Type="http://schemas.openxmlformats.org/officeDocument/2006/relationships/hyperlink" Target="https://facebook.com/MOFAKuwait" TargetMode="External"/><Relationship Id="rId1008" Type="http://schemas.openxmlformats.org/officeDocument/2006/relationships/hyperlink" Target="https://facebook.com/patrice.trovoada.oficial" TargetMode="External"/><Relationship Id="rId1215" Type="http://schemas.openxmlformats.org/officeDocument/2006/relationships/hyperlink" Target="https://facebook.com/pjugnauth" TargetMode="External"/><Relationship Id="rId61" Type="http://schemas.openxmlformats.org/officeDocument/2006/relationships/hyperlink" Target="https://facebook.com/aloysionunes" TargetMode="External"/><Relationship Id="rId199" Type="http://schemas.openxmlformats.org/officeDocument/2006/relationships/hyperlink" Target="https://facebook.com/govuz" TargetMode="External"/><Relationship Id="rId571" Type="http://schemas.openxmlformats.org/officeDocument/2006/relationships/hyperlink" Target="https://facebook.com/predsednikrs" TargetMode="External"/><Relationship Id="rId627" Type="http://schemas.openxmlformats.org/officeDocument/2006/relationships/hyperlink" Target="https://facebook.com/Ph%E1%BA%A1m-B%C3%ACnh-Minh-919861878132744" TargetMode="External"/><Relationship Id="rId669" Type="http://schemas.openxmlformats.org/officeDocument/2006/relationships/hyperlink" Target="https://facebook.com/Xavier-Bettel-76714151717" TargetMode="External"/><Relationship Id="rId834" Type="http://schemas.openxmlformats.org/officeDocument/2006/relationships/hyperlink" Target="https://facebook.com/gouvernement.fr" TargetMode="External"/><Relationship Id="rId876" Type="http://schemas.openxmlformats.org/officeDocument/2006/relationships/hyperlink" Target="https://facebook.com/JBishopMP" TargetMode="External"/><Relationship Id="rId1257" Type="http://schemas.openxmlformats.org/officeDocument/2006/relationships/hyperlink" Target="https://facebook.com/AlbanianMEFA" TargetMode="External"/><Relationship Id="rId1299" Type="http://schemas.openxmlformats.org/officeDocument/2006/relationships/hyperlink" Target="http://www.facebook.com/168727046514485" TargetMode="External"/><Relationship Id="rId19" Type="http://schemas.openxmlformats.org/officeDocument/2006/relationships/hyperlink" Target="https://facebook.com/Jorge-Carlos-Fonseca-234404863297613" TargetMode="External"/><Relationship Id="rId224" Type="http://schemas.openxmlformats.org/officeDocument/2006/relationships/hyperlink" Target="https://facebook.com/JamaicaHouse" TargetMode="External"/><Relationship Id="rId266" Type="http://schemas.openxmlformats.org/officeDocument/2006/relationships/hyperlink" Target="https://facebook.com/MAECHaiti" TargetMode="External"/><Relationship Id="rId431" Type="http://schemas.openxmlformats.org/officeDocument/2006/relationships/hyperlink" Target="https://facebook.com/rdussey" TargetMode="External"/><Relationship Id="rId473" Type="http://schemas.openxmlformats.org/officeDocument/2006/relationships/hyperlink" Target="https://facebook.com/teamrowley" TargetMode="External"/><Relationship Id="rId529" Type="http://schemas.openxmlformats.org/officeDocument/2006/relationships/hyperlink" Target="https://facebook.com/JorgeFaurie" TargetMode="External"/><Relationship Id="rId680" Type="http://schemas.openxmlformats.org/officeDocument/2006/relationships/hyperlink" Target="https://facebook.com/Mariano-Rajoy-Brey-54212446406" TargetMode="External"/><Relationship Id="rId736" Type="http://schemas.openxmlformats.org/officeDocument/2006/relationships/hyperlink" Target="https://facebook.com/BeMonarchie" TargetMode="External"/><Relationship Id="rId901" Type="http://schemas.openxmlformats.org/officeDocument/2006/relationships/hyperlink" Target="https://facebook.com/Kongehuset" TargetMode="External"/><Relationship Id="rId1061" Type="http://schemas.openxmlformats.org/officeDocument/2006/relationships/hyperlink" Target="https://facebook.com/PresidentPaulKagame" TargetMode="External"/><Relationship Id="rId1117" Type="http://schemas.openxmlformats.org/officeDocument/2006/relationships/hyperlink" Target="https://facebook.com/SushmaSwarajBJP" TargetMode="External"/><Relationship Id="rId1159" Type="http://schemas.openxmlformats.org/officeDocument/2006/relationships/hyperlink" Target="https://facebook.com/volodymyrgroysman" TargetMode="External"/><Relationship Id="rId30" Type="http://schemas.openxmlformats.org/officeDocument/2006/relationships/hyperlink" Target="https://facebook.com/IsabelStMalo" TargetMode="External"/><Relationship Id="rId126" Type="http://schemas.openxmlformats.org/officeDocument/2006/relationships/hyperlink" Target="https://facebook.com/DIRCOza" TargetMode="External"/><Relationship Id="rId168" Type="http://schemas.openxmlformats.org/officeDocument/2006/relationships/hyperlink" Target="https://facebook.com/france.diplomatie" TargetMode="External"/><Relationship Id="rId333" Type="http://schemas.openxmlformats.org/officeDocument/2006/relationships/hyperlink" Target="https://facebook.com/myanmarpresidentoffice.gov.mm" TargetMode="External"/><Relationship Id="rId540" Type="http://schemas.openxmlformats.org/officeDocument/2006/relationships/hyperlink" Target="https://facebook.com/TongaGovtPortal" TargetMode="External"/><Relationship Id="rId778" Type="http://schemas.openxmlformats.org/officeDocument/2006/relationships/hyperlink" Target="https://facebook.com/Dmitry.Medvedev" TargetMode="External"/><Relationship Id="rId943" Type="http://schemas.openxmlformats.org/officeDocument/2006/relationships/hyperlink" Target="https://facebook.com/MFAKosovo" TargetMode="External"/><Relationship Id="rId985" Type="http://schemas.openxmlformats.org/officeDocument/2006/relationships/hyperlink" Target="https://facebook.com/mzvcr" TargetMode="External"/><Relationship Id="rId1019" Type="http://schemas.openxmlformats.org/officeDocument/2006/relationships/hyperlink" Target="https://facebook.com/PMOMalaysia" TargetMode="External"/><Relationship Id="rId1170" Type="http://schemas.openxmlformats.org/officeDocument/2006/relationships/hyperlink" Target="https://facebook.com/wwwvladahr" TargetMode="External"/><Relationship Id="rId72" Type="http://schemas.openxmlformats.org/officeDocument/2006/relationships/hyperlink" Target="https://facebook.com/AntiguaBarbudaGovt" TargetMode="External"/><Relationship Id="rId375" Type="http://schemas.openxmlformats.org/officeDocument/2006/relationships/hyperlink" Target="https://facebook.com/ppkoficial" TargetMode="External"/><Relationship Id="rId582" Type="http://schemas.openxmlformats.org/officeDocument/2006/relationships/hyperlink" Target="https://facebook.com/detdanskekongehus" TargetMode="External"/><Relationship Id="rId638" Type="http://schemas.openxmlformats.org/officeDocument/2006/relationships/hyperlink" Target="https://facebook.com/Igor-Crnadak-125367794733621" TargetMode="External"/><Relationship Id="rId803" Type="http://schemas.openxmlformats.org/officeDocument/2006/relationships/hyperlink" Target="https://facebook.com/europeancouncilpresident" TargetMode="External"/><Relationship Id="rId845" Type="http://schemas.openxmlformats.org/officeDocument/2006/relationships/hyperlink" Target="https://facebook.com/govph" TargetMode="External"/><Relationship Id="rId1030" Type="http://schemas.openxmlformats.org/officeDocument/2006/relationships/hyperlink" Target="https://facebook.com/Presidence.Mali" TargetMode="External"/><Relationship Id="rId1226" Type="http://schemas.openxmlformats.org/officeDocument/2006/relationships/hyperlink" Target="https://facebook.com/IdrissDebyItn" TargetMode="External"/><Relationship Id="rId1268" Type="http://schemas.openxmlformats.org/officeDocument/2006/relationships/hyperlink" Target="https://facebook.com/vanuatuogcio" TargetMode="External"/><Relationship Id="rId3" Type="http://schemas.openxmlformats.org/officeDocument/2006/relationships/hyperlink" Target="https://facebook.com/Gouvernement-de-la-R%C3%A9publique-du-Burundi-1006449296051502" TargetMode="External"/><Relationship Id="rId235" Type="http://schemas.openxmlformats.org/officeDocument/2006/relationships/hyperlink" Target="https://facebook.com/juhasi.fi" TargetMode="External"/><Relationship Id="rId277" Type="http://schemas.openxmlformats.org/officeDocument/2006/relationships/hyperlink" Target="https://facebook.com/mauriciomacri" TargetMode="External"/><Relationship Id="rId400" Type="http://schemas.openxmlformats.org/officeDocument/2006/relationships/hyperlink" Target="https://facebook.com/PresidencyZA" TargetMode="External"/><Relationship Id="rId442" Type="http://schemas.openxmlformats.org/officeDocument/2006/relationships/hyperlink" Target="https://facebook.com/Salahuddin.Rabbani" TargetMode="External"/><Relationship Id="rId484" Type="http://schemas.openxmlformats.org/officeDocument/2006/relationships/hyperlink" Target="https://facebook.com/tzmagufuli" TargetMode="External"/><Relationship Id="rId705" Type="http://schemas.openxmlformats.org/officeDocument/2006/relationships/hyperlink" Target="https://facebook.com/AhmedObaidBinDaghar" TargetMode="External"/><Relationship Id="rId887" Type="http://schemas.openxmlformats.org/officeDocument/2006/relationships/hyperlink" Target="https://facebook.com/jzarif" TargetMode="External"/><Relationship Id="rId1072" Type="http://schemas.openxmlformats.org/officeDocument/2006/relationships/hyperlink" Target="https://facebook.com/primeminister.kz" TargetMode="External"/><Relationship Id="rId1128" Type="http://schemas.openxmlformats.org/officeDocument/2006/relationships/hyperlink" Target="https://facebook.com/tsheringtobgay" TargetMode="External"/><Relationship Id="rId137" Type="http://schemas.openxmlformats.org/officeDocument/2006/relationships/hyperlink" Target="https://facebook.com/DrHageGeingob" TargetMode="External"/><Relationship Id="rId302" Type="http://schemas.openxmlformats.org/officeDocument/2006/relationships/hyperlink" Target="https://facebook.com/miguelvargasmaldonado" TargetMode="External"/><Relationship Id="rId344" Type="http://schemas.openxmlformats.org/officeDocument/2006/relationships/hyperlink" Target="https://facebook.com/niinisto" TargetMode="External"/><Relationship Id="rId691" Type="http://schemas.openxmlformats.org/officeDocument/2006/relationships/hyperlink" Target="https://facebook.com/RT-Hon-Dr-Ruhakana-Rugunda-1577972009097699" TargetMode="External"/><Relationship Id="rId747" Type="http://schemas.openxmlformats.org/officeDocument/2006/relationships/hyperlink" Target="https://facebook.com/CancilleriaARG" TargetMode="External"/><Relationship Id="rId789" Type="http://schemas.openxmlformats.org/officeDocument/2006/relationships/hyperlink" Target="https://facebook.com/EdgarChagwaLungu" TargetMode="External"/><Relationship Id="rId912" Type="http://schemas.openxmlformats.org/officeDocument/2006/relationships/hyperlink" Target="https://facebook.com/macedonianpresident" TargetMode="External"/><Relationship Id="rId954" Type="http://schemas.openxmlformats.org/officeDocument/2006/relationships/hyperlink" Target="https://facebook.com/ministeriebz" TargetMode="External"/><Relationship Id="rId996" Type="http://schemas.openxmlformats.org/officeDocument/2006/relationships/hyperlink" Target="https://facebook.com/OPMTT" TargetMode="External"/><Relationship Id="rId41" Type="http://schemas.openxmlformats.org/officeDocument/2006/relationships/hyperlink" Target="https://facebook.com/REPUBLIC-OF-TOGO-6683533941" TargetMode="External"/><Relationship Id="rId83" Type="http://schemas.openxmlformats.org/officeDocument/2006/relationships/hyperlink" Target="https://facebook.com/BBYEGM" TargetMode="External"/><Relationship Id="rId179" Type="http://schemas.openxmlformats.org/officeDocument/2006/relationships/hyperlink" Target="https://facebook.com/gmicafghanistan" TargetMode="External"/><Relationship Id="rId386" Type="http://schemas.openxmlformats.org/officeDocument/2006/relationships/hyperlink" Target="https://facebook.com/Presidencedugouvernementtunisien" TargetMode="External"/><Relationship Id="rId551" Type="http://schemas.openxmlformats.org/officeDocument/2006/relationships/hyperlink" Target="https://facebook.com/alanpetercayetano" TargetMode="External"/><Relationship Id="rId593" Type="http://schemas.openxmlformats.org/officeDocument/2006/relationships/hyperlink" Target="https://facebook.com/%E6%B2%B3%E9%87%8E%E5%A4%AA%E9%83%8E-168727046514485/" TargetMode="External"/><Relationship Id="rId607" Type="http://schemas.openxmlformats.org/officeDocument/2006/relationships/hyperlink" Target="https://facebook.com/saotmn911" TargetMode="External"/><Relationship Id="rId649" Type="http://schemas.openxmlformats.org/officeDocument/2006/relationships/hyperlink" Target="https://facebook.com/heiko.maas.98" TargetMode="External"/><Relationship Id="rId814" Type="http://schemas.openxmlformats.org/officeDocument/2006/relationships/hyperlink" Target="https://facebook.com/forsaetisraduneytid" TargetMode="External"/><Relationship Id="rId856" Type="http://schemas.openxmlformats.org/officeDocument/2006/relationships/hyperlink" Target="https://facebook.com/HEBPMO" TargetMode="External"/><Relationship Id="rId1181" Type="http://schemas.openxmlformats.org/officeDocument/2006/relationships/hyperlink" Target="https://facebook.com/Amadou-GON-Coulibaly-776372942486246" TargetMode="External"/><Relationship Id="rId1237" Type="http://schemas.openxmlformats.org/officeDocument/2006/relationships/hyperlink" Target="https://facebook.com/behgjeti" TargetMode="External"/><Relationship Id="rId1279" Type="http://schemas.openxmlformats.org/officeDocument/2006/relationships/hyperlink" Target="https://facebook.com/ulissescorreiaesilva" TargetMode="External"/><Relationship Id="rId190" Type="http://schemas.openxmlformats.org/officeDocument/2006/relationships/hyperlink" Target="https://facebook.com/govern.ad" TargetMode="External"/><Relationship Id="rId204" Type="http://schemas.openxmlformats.org/officeDocument/2006/relationships/hyperlink" Target="https://facebook.com/GvtMonaco" TargetMode="External"/><Relationship Id="rId246" Type="http://schemas.openxmlformats.org/officeDocument/2006/relationships/hyperlink" Target="https://facebook.com/KhemaiesJhinaoui" TargetMode="External"/><Relationship Id="rId288" Type="http://schemas.openxmlformats.org/officeDocument/2006/relationships/hyperlink" Target="https://facebook.com/MFAEgypt" TargetMode="External"/><Relationship Id="rId411" Type="http://schemas.openxmlformats.org/officeDocument/2006/relationships/hyperlink" Target="https://facebook.com/PresidentofMalta" TargetMode="External"/><Relationship Id="rId453" Type="http://schemas.openxmlformats.org/officeDocument/2006/relationships/hyperlink" Target="https://facebook.com/sknismedia" TargetMode="External"/><Relationship Id="rId509" Type="http://schemas.openxmlformats.org/officeDocument/2006/relationships/hyperlink" Target="https://facebook.com/VladaRepublikeSlovenije" TargetMode="External"/><Relationship Id="rId660" Type="http://schemas.openxmlformats.org/officeDocument/2006/relationships/hyperlink" Target="https://facebook.com/Prime-Minister-office-of-Mongolia-135047926675334" TargetMode="External"/><Relationship Id="rId898" Type="http://schemas.openxmlformats.org/officeDocument/2006/relationships/hyperlink" Target="https://facebook.com/Kmassimov" TargetMode="External"/><Relationship Id="rId1041" Type="http://schemas.openxmlformats.org/officeDocument/2006/relationships/hyperlink" Target="https://facebook.com/PresidenciadeColombia" TargetMode="External"/><Relationship Id="rId1083" Type="http://schemas.openxmlformats.org/officeDocument/2006/relationships/hyperlink" Target="https://facebook.com/RHCJO" TargetMode="External"/><Relationship Id="rId1139" Type="http://schemas.openxmlformats.org/officeDocument/2006/relationships/hyperlink" Target="https://facebook.com/UkrainianGovernment" TargetMode="External"/><Relationship Id="rId1290" Type="http://schemas.openxmlformats.org/officeDocument/2006/relationships/hyperlink" Target="https://facebook.com/SimonCoveney" TargetMode="External"/><Relationship Id="rId1304" Type="http://schemas.openxmlformats.org/officeDocument/2006/relationships/hyperlink" Target="http://www.facebook.com/324716950937499" TargetMode="External"/><Relationship Id="rId106" Type="http://schemas.openxmlformats.org/officeDocument/2006/relationships/hyperlink" Target="https://facebook.com/CasaPresidencialdeHonduras" TargetMode="External"/><Relationship Id="rId313" Type="http://schemas.openxmlformats.org/officeDocument/2006/relationships/hyperlink" Target="https://facebook.com/mofa.gov.ly" TargetMode="External"/><Relationship Id="rId495" Type="http://schemas.openxmlformats.org/officeDocument/2006/relationships/hyperlink" Target="https://facebook.com/USAdarFarsi" TargetMode="External"/><Relationship Id="rId716" Type="http://schemas.openxmlformats.org/officeDocument/2006/relationships/hyperlink" Target="https://facebook.com/AndrewHolnessJM" TargetMode="External"/><Relationship Id="rId758" Type="http://schemas.openxmlformats.org/officeDocument/2006/relationships/hyperlink" Target="https://facebook.com/cg.gov.ma" TargetMode="External"/><Relationship Id="rId923" Type="http://schemas.openxmlformats.org/officeDocument/2006/relationships/hyperlink" Target="https://facebook.com/manuelgonzalezscr" TargetMode="External"/><Relationship Id="rId965" Type="http://schemas.openxmlformats.org/officeDocument/2006/relationships/hyperlink" Target="https://facebook.com/Mofa.Japan.en" TargetMode="External"/><Relationship Id="rId1150" Type="http://schemas.openxmlformats.org/officeDocument/2006/relationships/hyperlink" Target="https://facebook.com/Utenriksdepartementet" TargetMode="External"/><Relationship Id="rId10" Type="http://schemas.openxmlformats.org/officeDocument/2006/relationships/hyperlink" Target="https://facebook.com/Primature-de-la-Republique-du-Tchad-119987794693584" TargetMode="External"/><Relationship Id="rId52" Type="http://schemas.openxmlformats.org/officeDocument/2006/relationships/hyperlink" Target="https://facebook.com/aderjanos" TargetMode="External"/><Relationship Id="rId94" Type="http://schemas.openxmlformats.org/officeDocument/2006/relationships/hyperlink" Target="https://facebook.com/Bundesregierung" TargetMode="External"/><Relationship Id="rId148" Type="http://schemas.openxmlformats.org/officeDocument/2006/relationships/hyperlink" Target="https://facebook.com/EmirOfQatar" TargetMode="External"/><Relationship Id="rId355" Type="http://schemas.openxmlformats.org/officeDocument/2006/relationships/hyperlink" Target="https://facebook.com/palaismonaco" TargetMode="External"/><Relationship Id="rId397" Type="http://schemas.openxmlformats.org/officeDocument/2006/relationships/hyperlink" Target="https://facebook.com/PresidenciaPy" TargetMode="External"/><Relationship Id="rId520" Type="http://schemas.openxmlformats.org/officeDocument/2006/relationships/hyperlink" Target="https://facebook.com/www.zasag.mn" TargetMode="External"/><Relationship Id="rId562" Type="http://schemas.openxmlformats.org/officeDocument/2006/relationships/hyperlink" Target="https://facebook.com/DireccionGeneraldeInformacionPresidencial" TargetMode="External"/><Relationship Id="rId618" Type="http://schemas.openxmlformats.org/officeDocument/2006/relationships/hyperlink" Target="https://facebook.com/statehouse.freetown" TargetMode="External"/><Relationship Id="rId825" Type="http://schemas.openxmlformats.org/officeDocument/2006/relationships/hyperlink" Target="https://facebook.com/gisbarbados" TargetMode="External"/><Relationship Id="rId1192" Type="http://schemas.openxmlformats.org/officeDocument/2006/relationships/hyperlink" Target="https://facebook.com/opmgbi" TargetMode="External"/><Relationship Id="rId1206" Type="http://schemas.openxmlformats.org/officeDocument/2006/relationships/hyperlink" Target="https://facebook.com/pmharriskn" TargetMode="External"/><Relationship Id="rId1248" Type="http://schemas.openxmlformats.org/officeDocument/2006/relationships/hyperlink" Target="https://facebook.com/mfespinosaEC" TargetMode="External"/><Relationship Id="rId215" Type="http://schemas.openxmlformats.org/officeDocument/2006/relationships/hyperlink" Target="https://facebook.com/IBK.Officiel" TargetMode="External"/><Relationship Id="rId257" Type="http://schemas.openxmlformats.org/officeDocument/2006/relationships/hyperlink" Target="https://facebook.com/LajcakMiroslav" TargetMode="External"/><Relationship Id="rId422" Type="http://schemas.openxmlformats.org/officeDocument/2006/relationships/hyperlink" Target="https://facebook.com/primeminister.kaz" TargetMode="External"/><Relationship Id="rId464" Type="http://schemas.openxmlformats.org/officeDocument/2006/relationships/hyperlink" Target="https://facebook.com/stefanlofven" TargetMode="External"/><Relationship Id="rId867" Type="http://schemas.openxmlformats.org/officeDocument/2006/relationships/hyperlink" Target="https://facebook.com/IsraeliPM" TargetMode="External"/><Relationship Id="rId1010" Type="http://schemas.openxmlformats.org/officeDocument/2006/relationships/hyperlink" Target="https://facebook.com/PaulBiya.PageOfficielle" TargetMode="External"/><Relationship Id="rId1052" Type="http://schemas.openxmlformats.org/officeDocument/2006/relationships/hyperlink" Target="https://facebook.com/PresidentAlphaCondeGuinee" TargetMode="External"/><Relationship Id="rId1094" Type="http://schemas.openxmlformats.org/officeDocument/2006/relationships/hyperlink" Target="https://facebook.com/SarukaaruKhabaru" TargetMode="External"/><Relationship Id="rId1108" Type="http://schemas.openxmlformats.org/officeDocument/2006/relationships/hyperlink" Target="https://facebook.com/StateHouseKenya" TargetMode="External"/><Relationship Id="rId1315" Type="http://schemas.openxmlformats.org/officeDocument/2006/relationships/printerSettings" Target="../printerSettings/printerSettings1.bin"/><Relationship Id="rId299" Type="http://schemas.openxmlformats.org/officeDocument/2006/relationships/hyperlink" Target="https://facebook.com/MichelAoun" TargetMode="External"/><Relationship Id="rId727" Type="http://schemas.openxmlformats.org/officeDocument/2006/relationships/hyperlink" Target="https://facebook.com/ashrafghani.af" TargetMode="External"/><Relationship Id="rId934" Type="http://schemas.openxmlformats.org/officeDocument/2006/relationships/hyperlink" Target="https://facebook.com/mfa.tj" TargetMode="External"/><Relationship Id="rId63" Type="http://schemas.openxmlformats.org/officeDocument/2006/relationships/hyperlink" Target="https://facebook.com/AlSisiofficial" TargetMode="External"/><Relationship Id="rId159" Type="http://schemas.openxmlformats.org/officeDocument/2006/relationships/hyperlink" Target="https://facebook.com/flagstaffhouse" TargetMode="External"/><Relationship Id="rId366" Type="http://schemas.openxmlformats.org/officeDocument/2006/relationships/hyperlink" Target="https://facebook.com/pm.gov.ly" TargetMode="External"/><Relationship Id="rId573" Type="http://schemas.openxmlformats.org/officeDocument/2006/relationships/hyperlink" Target="https://facebook.com/mfcatt" TargetMode="External"/><Relationship Id="rId780" Type="http://schemas.openxmlformats.org/officeDocument/2006/relationships/hyperlink" Target="https://facebook.com/DOImalta" TargetMode="External"/><Relationship Id="rId1217" Type="http://schemas.openxmlformats.org/officeDocument/2006/relationships/hyperlink" Target="https://facebook.com/lerendezvousmada" TargetMode="External"/><Relationship Id="rId226" Type="http://schemas.openxmlformats.org/officeDocument/2006/relationships/hyperlink" Target="https://facebook.com/JapanGov" TargetMode="External"/><Relationship Id="rId433" Type="http://schemas.openxmlformats.org/officeDocument/2006/relationships/hyperlink" Target="https://facebook.com/ReuvenRivlin" TargetMode="External"/><Relationship Id="rId878" Type="http://schemas.openxmlformats.org/officeDocument/2006/relationships/hyperlink" Target="https://facebook.com/JimmyOficial" TargetMode="External"/><Relationship Id="rId1063" Type="http://schemas.openxmlformats.org/officeDocument/2006/relationships/hyperlink" Target="https://facebook.com/PresidentYoweriKagutaMuseveni" TargetMode="External"/><Relationship Id="rId1270" Type="http://schemas.openxmlformats.org/officeDocument/2006/relationships/hyperlink" Target="https://facebook.com/Ralph-Regenvanu-160258983761" TargetMode="External"/><Relationship Id="rId640" Type="http://schemas.openxmlformats.org/officeDocument/2006/relationships/hyperlink" Target="https://facebook.com/embaettiforseta" TargetMode="External"/><Relationship Id="rId738" Type="http://schemas.openxmlformats.org/officeDocument/2006/relationships/hyperlink" Target="https://facebook.com/bnpmo" TargetMode="External"/><Relationship Id="rId945" Type="http://schemas.openxmlformats.org/officeDocument/2006/relationships/hyperlink" Target="https://facebook.com/mfamongoliaMN" TargetMode="External"/><Relationship Id="rId74" Type="http://schemas.openxmlformats.org/officeDocument/2006/relationships/hyperlink" Target="https://facebook.com/APMutharika" TargetMode="External"/><Relationship Id="rId377" Type="http://schemas.openxmlformats.org/officeDocument/2006/relationships/hyperlink" Target="https://facebook.com/prensapalacio" TargetMode="External"/><Relationship Id="rId500" Type="http://schemas.openxmlformats.org/officeDocument/2006/relationships/hyperlink" Target="https://facebook.com/utanrikisraduneytid" TargetMode="External"/><Relationship Id="rId584" Type="http://schemas.openxmlformats.org/officeDocument/2006/relationships/hyperlink" Target="https://facebook.com/HugoMartinezSV" TargetMode="External"/><Relationship Id="rId805" Type="http://schemas.openxmlformats.org/officeDocument/2006/relationships/hyperlink" Target="https://facebook.com/Exteriores.maec" TargetMode="External"/><Relationship Id="rId1130" Type="http://schemas.openxmlformats.org/officeDocument/2006/relationships/hyperlink" Target="https://facebook.com/tsiprasforpresident" TargetMode="External"/><Relationship Id="rId1228" Type="http://schemas.openxmlformats.org/officeDocument/2006/relationships/hyperlink" Target="https://facebook.com/EisPresidentiRDTL" TargetMode="External"/><Relationship Id="rId5" Type="http://schemas.openxmlformats.org/officeDocument/2006/relationships/hyperlink" Target="https://facebook.com/JOMAV-Jos&#233;-Mario-Vaz-Pr&#233;sident-797477746936993" TargetMode="External"/><Relationship Id="rId237" Type="http://schemas.openxmlformats.org/officeDocument/2006/relationships/hyperlink" Target="https://facebook.com/JustinPJTrudeau" TargetMode="External"/><Relationship Id="rId791" Type="http://schemas.openxmlformats.org/officeDocument/2006/relationships/hyperlink" Target="https://facebook.com/eGovernment.Center.Moldova" TargetMode="External"/><Relationship Id="rId889" Type="http://schemas.openxmlformats.org/officeDocument/2006/relationships/hyperlink" Target="https://facebook.com/kaminajsmith" TargetMode="External"/><Relationship Id="rId1074" Type="http://schemas.openxmlformats.org/officeDocument/2006/relationships/hyperlink" Target="https://facebook.com/primeministersofficepng" TargetMode="External"/><Relationship Id="rId444" Type="http://schemas.openxmlformats.org/officeDocument/2006/relationships/hyperlink" Target="https://facebook.com/sanewsgovza" TargetMode="External"/><Relationship Id="rId651" Type="http://schemas.openxmlformats.org/officeDocument/2006/relationships/hyperlink" Target="https://facebook.com/GOSS-Government-of-Southern-Sudan-292935125286" TargetMode="External"/><Relationship Id="rId749" Type="http://schemas.openxmlformats.org/officeDocument/2006/relationships/hyperlink" Target="https://facebook.com/CancilleriaCol" TargetMode="External"/><Relationship Id="rId1281" Type="http://schemas.openxmlformats.org/officeDocument/2006/relationships/hyperlink" Target="https://facebook.com/Barrow-PORG-189258704928602" TargetMode="External"/><Relationship Id="rId290" Type="http://schemas.openxmlformats.org/officeDocument/2006/relationships/hyperlink" Target="https://facebook.com/MFAEthiopia" TargetMode="External"/><Relationship Id="rId304" Type="http://schemas.openxmlformats.org/officeDocument/2006/relationships/hyperlink" Target="https://facebook.com/mingobierno" TargetMode="External"/><Relationship Id="rId388" Type="http://schemas.openxmlformats.org/officeDocument/2006/relationships/hyperlink" Target="https://facebook.com/PresidenceRepubliqueGuinee" TargetMode="External"/><Relationship Id="rId511" Type="http://schemas.openxmlformats.org/officeDocument/2006/relationships/hyperlink" Target="https://facebook.com/votealpha2015" TargetMode="External"/><Relationship Id="rId609" Type="http://schemas.openxmlformats.org/officeDocument/2006/relationships/hyperlink" Target="https://facebook.com/MouambaClement" TargetMode="External"/><Relationship Id="rId956" Type="http://schemas.openxmlformats.org/officeDocument/2006/relationships/hyperlink" Target="https://facebook.com/ministerpresident" TargetMode="External"/><Relationship Id="rId1141" Type="http://schemas.openxmlformats.org/officeDocument/2006/relationships/hyperlink" Target="https://facebook.com/uradvlady" TargetMode="External"/><Relationship Id="rId1239" Type="http://schemas.openxmlformats.org/officeDocument/2006/relationships/hyperlink" Target="https://facebook.com/VGKatrinJakobsdottir" TargetMode="External"/><Relationship Id="rId85" Type="http://schemas.openxmlformats.org/officeDocument/2006/relationships/hyperlink" Target="https://facebook.com/BejiCEOfficial" TargetMode="External"/><Relationship Id="rId150" Type="http://schemas.openxmlformats.org/officeDocument/2006/relationships/hyperlink" Target="https://facebook.com/ernasolberg" TargetMode="External"/><Relationship Id="rId595" Type="http://schemas.openxmlformats.org/officeDocument/2006/relationships/hyperlink" Target="https://facebook.com/ineeriksensoreide" TargetMode="External"/><Relationship Id="rId816" Type="http://schemas.openxmlformats.org/officeDocument/2006/relationships/hyperlink" Target="https://facebook.com/france.diplomacy" TargetMode="External"/><Relationship Id="rId1001" Type="http://schemas.openxmlformats.org/officeDocument/2006/relationships/hyperlink" Target="https://facebook.com/otptt" TargetMode="External"/><Relationship Id="rId248" Type="http://schemas.openxmlformats.org/officeDocument/2006/relationships/hyperlink" Target="https://facebook.com/klausiohannis" TargetMode="External"/><Relationship Id="rId455" Type="http://schemas.openxmlformats.org/officeDocument/2006/relationships/hyperlink" Target="https://facebook.com/somalipm" TargetMode="External"/><Relationship Id="rId662" Type="http://schemas.openxmlformats.org/officeDocument/2006/relationships/hyperlink" Target="https://facebook.com/Federal-Government-Communication-Affairs-Office-of-Ethiopia-349142568566343" TargetMode="External"/><Relationship Id="rId1085" Type="http://schemas.openxmlformats.org/officeDocument/2006/relationships/hyperlink" Target="https://facebook.com/rodyduterte" TargetMode="External"/><Relationship Id="rId1292" Type="http://schemas.openxmlformats.org/officeDocument/2006/relationships/hyperlink" Target="https://facebook.com/prezidentskypalac" TargetMode="External"/><Relationship Id="rId1306" Type="http://schemas.openxmlformats.org/officeDocument/2006/relationships/hyperlink" Target="http://www.facebook.com/280212665505125" TargetMode="External"/><Relationship Id="rId12" Type="http://schemas.openxmlformats.org/officeDocument/2006/relationships/hyperlink" Target="https://facebook.com/Kryeministria-e-republikes-se-Shqiperise-772125672825922" TargetMode="External"/><Relationship Id="rId108" Type="http://schemas.openxmlformats.org/officeDocument/2006/relationships/hyperlink" Target="https://facebook.com/CentralCommunicationsServiceOfKazakhstan" TargetMode="External"/><Relationship Id="rId315" Type="http://schemas.openxmlformats.org/officeDocument/2006/relationships/hyperlink" Target="https://facebook.com/Mofa.Japan" TargetMode="External"/><Relationship Id="rId522" Type="http://schemas.openxmlformats.org/officeDocument/2006/relationships/hyperlink" Target="https://facebook.com/Youssefchahedofficiel" TargetMode="External"/><Relationship Id="rId967" Type="http://schemas.openxmlformats.org/officeDocument/2006/relationships/hyperlink" Target="https://facebook.com/mofa.pna" TargetMode="External"/><Relationship Id="rId1152" Type="http://schemas.openxmlformats.org/officeDocument/2006/relationships/hyperlink" Target="https://facebook.com/valismin" TargetMode="External"/><Relationship Id="rId96" Type="http://schemas.openxmlformats.org/officeDocument/2006/relationships/hyperlink" Target="https://facebook.com/CanadaPE" TargetMode="External"/><Relationship Id="rId161" Type="http://schemas.openxmlformats.org/officeDocument/2006/relationships/hyperlink" Target="https://facebook.com/foreignaffarisnamibia" TargetMode="External"/><Relationship Id="rId399" Type="http://schemas.openxmlformats.org/officeDocument/2006/relationships/hyperlink" Target="https://facebook.com/presidencymv" TargetMode="External"/><Relationship Id="rId827" Type="http://schemas.openxmlformats.org/officeDocument/2006/relationships/hyperlink" Target="https://facebook.com/GISNewsDominica" TargetMode="External"/><Relationship Id="rId1012" Type="http://schemas.openxmlformats.org/officeDocument/2006/relationships/hyperlink" Target="https://facebook.com/PCMPERU" TargetMode="External"/><Relationship Id="rId259" Type="http://schemas.openxmlformats.org/officeDocument/2006/relationships/hyperlink" Target="https://facebook.com/LatvianMFA" TargetMode="External"/><Relationship Id="rId466" Type="http://schemas.openxmlformats.org/officeDocument/2006/relationships/hyperlink" Target="https://facebook.com/supportfrancinebaron" TargetMode="External"/><Relationship Id="rId673" Type="http://schemas.openxmlformats.org/officeDocument/2006/relationships/hyperlink" Target="https://facebook.com/Bakir-Izetbegovi%C4%87-142839432423177" TargetMode="External"/><Relationship Id="rId880" Type="http://schemas.openxmlformats.org/officeDocument/2006/relationships/hyperlink" Target="https://facebook.com/Jokowi" TargetMode="External"/><Relationship Id="rId1096" Type="http://schemas.openxmlformats.org/officeDocument/2006/relationships/hyperlink" Target="https://facebook.com/saudiportal" TargetMode="External"/><Relationship Id="rId23" Type="http://schemas.openxmlformats.org/officeDocument/2006/relationships/hyperlink" Target="https://facebook.com/Amb-Dr-Amina-C-Mohammed-243558335851543" TargetMode="External"/><Relationship Id="rId119" Type="http://schemas.openxmlformats.org/officeDocument/2006/relationships/hyperlink" Target="https://facebook.com/DacicIvica" TargetMode="External"/><Relationship Id="rId326" Type="http://schemas.openxmlformats.org/officeDocument/2006/relationships/hyperlink" Target="https://facebook.com/mofamyanmar" TargetMode="External"/><Relationship Id="rId533" Type="http://schemas.openxmlformats.org/officeDocument/2006/relationships/hyperlink" Target="https://facebook.com/Abdoulkader-Kamil-Mohamed-1018182241561855" TargetMode="External"/><Relationship Id="rId978" Type="http://schemas.openxmlformats.org/officeDocument/2006/relationships/hyperlink" Target="https://facebook.com/Mofauae" TargetMode="External"/><Relationship Id="rId1163" Type="http://schemas.openxmlformats.org/officeDocument/2006/relationships/hyperlink" Target="https://facebook.com/WismaPutra1" TargetMode="External"/><Relationship Id="rId740" Type="http://schemas.openxmlformats.org/officeDocument/2006/relationships/hyperlink" Target="https://facebook.com/borutpahor.si" TargetMode="External"/><Relationship Id="rId838" Type="http://schemas.openxmlformats.org/officeDocument/2006/relationships/hyperlink" Target="https://facebook.com/govbrunei" TargetMode="External"/><Relationship Id="rId1023" Type="http://schemas.openxmlformats.org/officeDocument/2006/relationships/hyperlink" Target="https://facebook.com/POTUS" TargetMode="External"/><Relationship Id="rId172" Type="http://schemas.openxmlformats.org/officeDocument/2006/relationships/hyperlink" Target="https://facebook.com/gaston.browne" TargetMode="External"/><Relationship Id="rId477" Type="http://schemas.openxmlformats.org/officeDocument/2006/relationships/hyperlink" Target="https://facebook.com/TheresaMayOfficial" TargetMode="External"/><Relationship Id="rId600" Type="http://schemas.openxmlformats.org/officeDocument/2006/relationships/hyperlink" Target="https://facebook.com/spinera" TargetMode="External"/><Relationship Id="rId684" Type="http://schemas.openxmlformats.org/officeDocument/2006/relationships/hyperlink" Target="https://facebook.com/Ministry-of-Foreign-Affairs-Republic-of-Liberia-371689359570483" TargetMode="External"/><Relationship Id="rId1230" Type="http://schemas.openxmlformats.org/officeDocument/2006/relationships/hyperlink" Target="https://facebook.com/21nylee" TargetMode="External"/><Relationship Id="rId337" Type="http://schemas.openxmlformats.org/officeDocument/2006/relationships/hyperlink" Target="https://facebook.com/najibrazak" TargetMode="External"/><Relationship Id="rId891" Type="http://schemas.openxmlformats.org/officeDocument/2006/relationships/hyperlink" Target="https://facebook.com/Kemlu.RI" TargetMode="External"/><Relationship Id="rId905" Type="http://schemas.openxmlformats.org/officeDocument/2006/relationships/hyperlink" Target="https://facebook.com/KvirikashviliOfficial" TargetMode="External"/><Relationship Id="rId989" Type="http://schemas.openxmlformats.org/officeDocument/2006/relationships/hyperlink" Target="https://facebook.com/narendramodi" TargetMode="External"/><Relationship Id="rId34" Type="http://schemas.openxmlformats.org/officeDocument/2006/relationships/hyperlink" Target="https://facebook.com/Ministry-of-Foreign-Affairs-Botswana-281137451918748" TargetMode="External"/><Relationship Id="rId544" Type="http://schemas.openxmlformats.org/officeDocument/2006/relationships/hyperlink" Target="https://facebook.com/EmmanuelMacron" TargetMode="External"/><Relationship Id="rId751" Type="http://schemas.openxmlformats.org/officeDocument/2006/relationships/hyperlink" Target="https://facebook.com/CancilleriaEcuador" TargetMode="External"/><Relationship Id="rId849" Type="http://schemas.openxmlformats.org/officeDocument/2006/relationships/hyperlink" Target="https://facebook.com/guatemalagob" TargetMode="External"/><Relationship Id="rId1174" Type="http://schemas.openxmlformats.org/officeDocument/2006/relationships/hyperlink" Target="https://facebook.com/Kancelaria-Prezydenta-RP-112191058856046" TargetMode="External"/><Relationship Id="rId183" Type="http://schemas.openxmlformats.org/officeDocument/2006/relationships/hyperlink" Target="https://facebook.com/GOBPressOffice" TargetMode="External"/><Relationship Id="rId390" Type="http://schemas.openxmlformats.org/officeDocument/2006/relationships/hyperlink" Target="https://facebook.com/PresidenceTG" TargetMode="External"/><Relationship Id="rId404" Type="http://schemas.openxmlformats.org/officeDocument/2006/relationships/hyperlink" Target="https://facebook.com/presidenteraulcastro" TargetMode="External"/><Relationship Id="rId611" Type="http://schemas.openxmlformats.org/officeDocument/2006/relationships/hyperlink" Target="https://facebook.com/diplomatie.gouv.ci" TargetMode="External"/><Relationship Id="rId1034" Type="http://schemas.openxmlformats.org/officeDocument/2006/relationships/hyperlink" Target="https://facebook.com/Presidencecotedivoire" TargetMode="External"/><Relationship Id="rId1241" Type="http://schemas.openxmlformats.org/officeDocument/2006/relationships/hyperlink" Target="https://facebook.com/tsogtbaatar.damdin" TargetMode="External"/><Relationship Id="rId250" Type="http://schemas.openxmlformats.org/officeDocument/2006/relationships/hyperlink" Target="https://facebook.com/KMassimovE" TargetMode="External"/><Relationship Id="rId488" Type="http://schemas.openxmlformats.org/officeDocument/2006/relationships/hyperlink" Target="https://facebook.com/Ukgovernment" TargetMode="External"/><Relationship Id="rId695" Type="http://schemas.openxmlformats.org/officeDocument/2006/relationships/hyperlink" Target="https://facebook.com/ThaigovSpokesman" TargetMode="External"/><Relationship Id="rId709" Type="http://schemas.openxmlformats.org/officeDocument/2006/relationships/hyperlink" Target="https://facebook.com/allenmchastanet" TargetMode="External"/><Relationship Id="rId916" Type="http://schemas.openxmlformats.org/officeDocument/2006/relationships/hyperlink" Target="https://facebook.com/MAEE.Luxembourg" TargetMode="External"/><Relationship Id="rId1101" Type="http://schemas.openxmlformats.org/officeDocument/2006/relationships/hyperlink" Target="https://facebook.com/sgovpr" TargetMode="External"/><Relationship Id="rId45" Type="http://schemas.openxmlformats.org/officeDocument/2006/relationships/hyperlink" Target="https://facebook.com/mfarighana" TargetMode="External"/><Relationship Id="rId110" Type="http://schemas.openxmlformats.org/officeDocument/2006/relationships/hyperlink" Target="https://facebook.com/compresidencemadagascar" TargetMode="External"/><Relationship Id="rId348" Type="http://schemas.openxmlformats.org/officeDocument/2006/relationships/hyperlink" Target="https://facebook.com/opmuganda" TargetMode="External"/><Relationship Id="rId555" Type="http://schemas.openxmlformats.org/officeDocument/2006/relationships/hyperlink" Target="https://facebook.com/MFAMacedonia" TargetMode="External"/><Relationship Id="rId762" Type="http://schemas.openxmlformats.org/officeDocument/2006/relationships/hyperlink" Target="https://facebook.com/comunicacionespresidencia" TargetMode="External"/><Relationship Id="rId1185" Type="http://schemas.openxmlformats.org/officeDocument/2006/relationships/hyperlink" Target="https://facebook.com/galumse" TargetMode="External"/><Relationship Id="rId194" Type="http://schemas.openxmlformats.org/officeDocument/2006/relationships/hyperlink" Target="https://facebook.com/govgr" TargetMode="External"/><Relationship Id="rId208" Type="http://schemas.openxmlformats.org/officeDocument/2006/relationships/hyperlink" Target="https://facebook.com/hellosarkar.np" TargetMode="External"/><Relationship Id="rId415" Type="http://schemas.openxmlformats.org/officeDocument/2006/relationships/hyperlink" Target="https://facebook.com/pressepresidentielle.rdc" TargetMode="External"/><Relationship Id="rId622" Type="http://schemas.openxmlformats.org/officeDocument/2006/relationships/hyperlink" Target="https://facebook.com/rimbinkpatomp" TargetMode="External"/><Relationship Id="rId1045" Type="http://schemas.openxmlformats.org/officeDocument/2006/relationships/hyperlink" Target="https://facebook.com/presidenciaperu" TargetMode="External"/><Relationship Id="rId1252" Type="http://schemas.openxmlformats.org/officeDocument/2006/relationships/hyperlink" Target="https://facebook.com/PM.Hailemariam" TargetMode="External"/><Relationship Id="rId261" Type="http://schemas.openxmlformats.org/officeDocument/2006/relationships/hyperlink" Target="https://facebook.com/LibyanGovernment" TargetMode="External"/><Relationship Id="rId499" Type="http://schemas.openxmlformats.org/officeDocument/2006/relationships/hyperlink" Target="https://facebook.com/usdos" TargetMode="External"/><Relationship Id="rId927" Type="http://schemas.openxmlformats.org/officeDocument/2006/relationships/hyperlink" Target="https://facebook.com/MEAINDIA" TargetMode="External"/><Relationship Id="rId1112" Type="http://schemas.openxmlformats.org/officeDocument/2006/relationships/hyperlink" Target="https://facebook.com/statehouseug" TargetMode="External"/><Relationship Id="rId56" Type="http://schemas.openxmlformats.org/officeDocument/2006/relationships/hyperlink" Target="https://facebook.com/AhmedObaidBinDaghar" TargetMode="External"/><Relationship Id="rId359" Type="http://schemas.openxmlformats.org/officeDocument/2006/relationships/hyperlink" Target="https://facebook.com/patrice.trovoada.oficial" TargetMode="External"/><Relationship Id="rId566" Type="http://schemas.openxmlformats.org/officeDocument/2006/relationships/hyperlink" Target="https://facebook.com/pjugnauth" TargetMode="External"/><Relationship Id="rId773" Type="http://schemas.openxmlformats.org/officeDocument/2006/relationships/hyperlink" Target="https://facebook.com/dfaphl" TargetMode="External"/><Relationship Id="rId1196" Type="http://schemas.openxmlformats.org/officeDocument/2006/relationships/hyperlink" Target="https://facebook.com/moonbyun1" TargetMode="External"/><Relationship Id="rId121" Type="http://schemas.openxmlformats.org/officeDocument/2006/relationships/hyperlink" Target="https://facebook.com/DannyARFaure" TargetMode="External"/><Relationship Id="rId219" Type="http://schemas.openxmlformats.org/officeDocument/2006/relationships/hyperlink" Target="https://facebook.com/IsraeliPM.Arabic" TargetMode="External"/><Relationship Id="rId426" Type="http://schemas.openxmlformats.org/officeDocument/2006/relationships/hyperlink" Target="https://facebook.com/prmackysall" TargetMode="External"/><Relationship Id="rId633" Type="http://schemas.openxmlformats.org/officeDocument/2006/relationships/hyperlink" Target="https://facebook.com/JOMAVpaginaoficial" TargetMode="External"/><Relationship Id="rId980" Type="http://schemas.openxmlformats.org/officeDocument/2006/relationships/hyperlink" Target="https://facebook.com/mreparaguay" TargetMode="External"/><Relationship Id="rId1056" Type="http://schemas.openxmlformats.org/officeDocument/2006/relationships/hyperlink" Target="https://facebook.com/PresidentIlhamAliyev" TargetMode="External"/><Relationship Id="rId1263" Type="http://schemas.openxmlformats.org/officeDocument/2006/relationships/hyperlink" Target="https://facebook.com/statehousemauritius" TargetMode="External"/><Relationship Id="rId840" Type="http://schemas.openxmlformats.org/officeDocument/2006/relationships/hyperlink" Target="https://facebook.com/GovernmentofPalestine" TargetMode="External"/><Relationship Id="rId938" Type="http://schemas.openxmlformats.org/officeDocument/2006/relationships/hyperlink" Target="https://facebook.com/MFAEgyptEnglish" TargetMode="External"/><Relationship Id="rId67" Type="http://schemas.openxmlformats.org/officeDocument/2006/relationships/hyperlink" Target="https://facebook.com/AndrewHolnessJM" TargetMode="External"/><Relationship Id="rId272" Type="http://schemas.openxmlformats.org/officeDocument/2006/relationships/hyperlink" Target="https://facebook.com/malcolmturnbull" TargetMode="External"/><Relationship Id="rId577" Type="http://schemas.openxmlformats.org/officeDocument/2006/relationships/hyperlink" Target="https://facebook.com/IdrissDebyItn" TargetMode="External"/><Relationship Id="rId700" Type="http://schemas.openxmlformats.org/officeDocument/2006/relationships/hyperlink" Target="https://facebook.com/Abdelazizbouteflikaofficielle" TargetMode="External"/><Relationship Id="rId1123" Type="http://schemas.openxmlformats.org/officeDocument/2006/relationships/hyperlink" Target="https://facebook.com/thailandprd" TargetMode="External"/><Relationship Id="rId132" Type="http://schemas.openxmlformats.org/officeDocument/2006/relationships/hyperlink" Target="https://facebook.com/DonaldTrump" TargetMode="External"/><Relationship Id="rId784" Type="http://schemas.openxmlformats.org/officeDocument/2006/relationships/hyperlink" Target="https://facebook.com/Dr.AureliaFrick" TargetMode="External"/><Relationship Id="rId991" Type="http://schemas.openxmlformats.org/officeDocument/2006/relationships/hyperlink" Target="https://facebook.com/NicolasMaduro" TargetMode="External"/><Relationship Id="rId1067" Type="http://schemas.openxmlformats.org/officeDocument/2006/relationships/hyperlink" Target="https://facebook.com/PrimatureHaitienne" TargetMode="External"/><Relationship Id="rId437" Type="http://schemas.openxmlformats.org/officeDocument/2006/relationships/hyperlink" Target="https://facebook.com/rouhani.ir" TargetMode="External"/><Relationship Id="rId644" Type="http://schemas.openxmlformats.org/officeDocument/2006/relationships/hyperlink" Target="https://facebook.com/Dr-the-Hon-Hubert-A-Minnis-61258077512" TargetMode="External"/><Relationship Id="rId851" Type="http://schemas.openxmlformats.org/officeDocument/2006/relationships/hyperlink" Target="https://facebook.com/guv.ro" TargetMode="External"/><Relationship Id="rId1274" Type="http://schemas.openxmlformats.org/officeDocument/2006/relationships/hyperlink" Target="https://facebook.com/urministerija" TargetMode="External"/><Relationship Id="rId283" Type="http://schemas.openxmlformats.org/officeDocument/2006/relationships/hyperlink" Target="https://facebook.com/mfa.gov.sd" TargetMode="External"/><Relationship Id="rId490" Type="http://schemas.openxmlformats.org/officeDocument/2006/relationships/hyperlink" Target="https://facebook.com/UkrainianGovernment" TargetMode="External"/><Relationship Id="rId504" Type="http://schemas.openxmlformats.org/officeDocument/2006/relationships/hyperlink" Target="https://facebook.com/VarelaJC" TargetMode="External"/><Relationship Id="rId711" Type="http://schemas.openxmlformats.org/officeDocument/2006/relationships/hyperlink" Target="https://facebook.com/alscosta" TargetMode="External"/><Relationship Id="rId949" Type="http://schemas.openxmlformats.org/officeDocument/2006/relationships/hyperlink" Target="https://facebook.com/MichelTemer" TargetMode="External"/><Relationship Id="rId1134" Type="http://schemas.openxmlformats.org/officeDocument/2006/relationships/hyperlink" Target="https://facebook.com/UAEmGov" TargetMode="External"/><Relationship Id="rId78" Type="http://schemas.openxmlformats.org/officeDocument/2006/relationships/hyperlink" Target="https://facebook.com/ashrafghani.af" TargetMode="External"/><Relationship Id="rId143" Type="http://schemas.openxmlformats.org/officeDocument/2006/relationships/hyperlink" Target="https://facebook.com/egovkw" TargetMode="External"/><Relationship Id="rId350" Type="http://schemas.openxmlformats.org/officeDocument/2006/relationships/hyperlink" Target="https://facebook.com/ortcomkz" TargetMode="External"/><Relationship Id="rId588" Type="http://schemas.openxmlformats.org/officeDocument/2006/relationships/hyperlink" Target="https://facebook.com/behgjeti" TargetMode="External"/><Relationship Id="rId795" Type="http://schemas.openxmlformats.org/officeDocument/2006/relationships/hyperlink" Target="https://facebook.com/elysee.fr" TargetMode="External"/><Relationship Id="rId809" Type="http://schemas.openxmlformats.org/officeDocument/2006/relationships/hyperlink" Target="https://facebook.com/foreign.affairs.fiji" TargetMode="External"/><Relationship Id="rId1201" Type="http://schemas.openxmlformats.org/officeDocument/2006/relationships/hyperlink" Target="https://facebook.com/KhaltmaaBattulga" TargetMode="External"/><Relationship Id="rId9" Type="http://schemas.openxmlformats.org/officeDocument/2006/relationships/hyperlink" Target="https://facebook.com/Office-of-the-Prime-Minister-Belize-317057388365804" TargetMode="External"/><Relationship Id="rId210" Type="http://schemas.openxmlformats.org/officeDocument/2006/relationships/hyperlink" Target="https://facebook.com/HetKoninklijkHuis" TargetMode="External"/><Relationship Id="rId448" Type="http://schemas.openxmlformats.org/officeDocument/2006/relationships/hyperlink" Target="https://facebook.com/sebastiankurz.at" TargetMode="External"/><Relationship Id="rId655" Type="http://schemas.openxmlformats.org/officeDocument/2006/relationships/hyperlink" Target="https://facebook.com/LR-Vyriausyb&#279;-77276644149" TargetMode="External"/><Relationship Id="rId862" Type="http://schemas.openxmlformats.org/officeDocument/2006/relationships/hyperlink" Target="https://facebook.com/HukoomiQatar" TargetMode="External"/><Relationship Id="rId1078" Type="http://schemas.openxmlformats.org/officeDocument/2006/relationships/hyperlink" Target="https://facebook.com/ranil.wickremesinghe.leader" TargetMode="External"/><Relationship Id="rId1285" Type="http://schemas.openxmlformats.org/officeDocument/2006/relationships/hyperlink" Target="https://facebook.com/U-Htin-Kyaw-1097909980337498" TargetMode="External"/><Relationship Id="rId294" Type="http://schemas.openxmlformats.org/officeDocument/2006/relationships/hyperlink" Target="https://facebook.com/MFAKosovo" TargetMode="External"/><Relationship Id="rId308" Type="http://schemas.openxmlformats.org/officeDocument/2006/relationships/hyperlink" Target="https://facebook.com/MinistryofForeignAffairsofI.R.Iran" TargetMode="External"/><Relationship Id="rId515" Type="http://schemas.openxmlformats.org/officeDocument/2006/relationships/hyperlink" Target="https://facebook.com/WitoldWaszczykowski" TargetMode="External"/><Relationship Id="rId722" Type="http://schemas.openxmlformats.org/officeDocument/2006/relationships/hyperlink" Target="https://facebook.com/AntonioCostaSG" TargetMode="External"/><Relationship Id="rId1145" Type="http://schemas.openxmlformats.org/officeDocument/2006/relationships/hyperlink" Target="https://facebook.com/USAgov" TargetMode="External"/><Relationship Id="rId89" Type="http://schemas.openxmlformats.org/officeDocument/2006/relationships/hyperlink" Target="https://facebook.com/bnpmo" TargetMode="External"/><Relationship Id="rId154" Type="http://schemas.openxmlformats.org/officeDocument/2006/relationships/hyperlink" Target="https://facebook.com/europeancouncilpresident" TargetMode="External"/><Relationship Id="rId361" Type="http://schemas.openxmlformats.org/officeDocument/2006/relationships/hyperlink" Target="https://facebook.com/PaulBiya.PageOfficielle" TargetMode="External"/><Relationship Id="rId599" Type="http://schemas.openxmlformats.org/officeDocument/2006/relationships/hyperlink" Target="https://facebook.com/mfespinosaEC" TargetMode="External"/><Relationship Id="rId1005" Type="http://schemas.openxmlformats.org/officeDocument/2006/relationships/hyperlink" Target="https://facebook.com/palazzochigi.it" TargetMode="External"/><Relationship Id="rId1212" Type="http://schemas.openxmlformats.org/officeDocument/2006/relationships/hyperlink" Target="https://facebook.com/LuisGRiveraMarin" TargetMode="External"/><Relationship Id="rId459" Type="http://schemas.openxmlformats.org/officeDocument/2006/relationships/hyperlink" Target="https://facebook.com/StateHouseKenya" TargetMode="External"/><Relationship Id="rId666" Type="http://schemas.openxmlformats.org/officeDocument/2006/relationships/hyperlink" Target="https://facebook.com/Sultan-of-Brunei-Hassanal-Bolkiah-203783963024091" TargetMode="External"/><Relationship Id="rId873" Type="http://schemas.openxmlformats.org/officeDocument/2006/relationships/hyperlink" Target="https://facebook.com/JamaicaHouse" TargetMode="External"/><Relationship Id="rId1089" Type="http://schemas.openxmlformats.org/officeDocument/2006/relationships/hyperlink" Target="https://facebook.com/SAIBABABUHARI" TargetMode="External"/><Relationship Id="rId1296" Type="http://schemas.openxmlformats.org/officeDocument/2006/relationships/hyperlink" Target="https://facebook.com/Brigadier-David-Granger-136913633027025" TargetMode="External"/><Relationship Id="rId16" Type="http://schemas.openxmlformats.org/officeDocument/2006/relationships/hyperlink" Target="https://facebook.com/Hilda-Heine-%C3%B1an-Aur-225121217531031" TargetMode="External"/><Relationship Id="rId221" Type="http://schemas.openxmlformats.org/officeDocument/2006/relationships/hyperlink" Target="https://facebook.com/IstanaUntukRakyat" TargetMode="External"/><Relationship Id="rId319" Type="http://schemas.openxmlformats.org/officeDocument/2006/relationships/hyperlink" Target="https://facebook.com/MOFA.Uganda" TargetMode="External"/><Relationship Id="rId526" Type="http://schemas.openxmlformats.org/officeDocument/2006/relationships/hyperlink" Target="https://facebook.com/LeninMorenoEC" TargetMode="External"/><Relationship Id="rId1156" Type="http://schemas.openxmlformats.org/officeDocument/2006/relationships/hyperlink" Target="https://facebook.com/VladaMK" TargetMode="External"/><Relationship Id="rId733" Type="http://schemas.openxmlformats.org/officeDocument/2006/relationships/hyperlink" Target="https://facebook.com/bdbnepal" TargetMode="External"/><Relationship Id="rId940" Type="http://schemas.openxmlformats.org/officeDocument/2006/relationships/hyperlink" Target="https://facebook.com/mfageorgia" TargetMode="External"/><Relationship Id="rId1016" Type="http://schemas.openxmlformats.org/officeDocument/2006/relationships/hyperlink" Target="https://facebook.com/PMOBhutan" TargetMode="External"/><Relationship Id="rId165" Type="http://schemas.openxmlformats.org/officeDocument/2006/relationships/hyperlink" Target="https://facebook.com/forsaetisraduneytid" TargetMode="External"/><Relationship Id="rId372" Type="http://schemas.openxmlformats.org/officeDocument/2006/relationships/hyperlink" Target="https://facebook.com/polska" TargetMode="External"/><Relationship Id="rId677" Type="http://schemas.openxmlformats.org/officeDocument/2006/relationships/hyperlink" Target="https://facebook.com/Government-of-Kenya-280212665505125" TargetMode="External"/><Relationship Id="rId800" Type="http://schemas.openxmlformats.org/officeDocument/2006/relationships/hyperlink" Target="https://facebook.com/EstrategiayComunicacionesHn" TargetMode="External"/><Relationship Id="rId1223" Type="http://schemas.openxmlformats.org/officeDocument/2006/relationships/hyperlink" Target="https://facebook.com/CharlesMichel" TargetMode="External"/><Relationship Id="rId232" Type="http://schemas.openxmlformats.org/officeDocument/2006/relationships/hyperlink" Target="https://facebook.com/josephmuscatdotcom" TargetMode="External"/><Relationship Id="rId884" Type="http://schemas.openxmlformats.org/officeDocument/2006/relationships/hyperlink" Target="https://facebook.com/juhasi.fi" TargetMode="External"/><Relationship Id="rId27" Type="http://schemas.openxmlformats.org/officeDocument/2006/relationships/hyperlink" Target="https://facebook.com/gouvernement.lu" TargetMode="External"/><Relationship Id="rId537" Type="http://schemas.openxmlformats.org/officeDocument/2006/relationships/hyperlink" Target="https://facebook.com/Somalia" TargetMode="External"/><Relationship Id="rId744" Type="http://schemas.openxmlformats.org/officeDocument/2006/relationships/hyperlink" Target="https://facebook.com/CanadaFP" TargetMode="External"/><Relationship Id="rId951" Type="http://schemas.openxmlformats.org/officeDocument/2006/relationships/hyperlink" Target="https://facebook.com/miguelvargasmaldonado" TargetMode="External"/><Relationship Id="rId1167" Type="http://schemas.openxmlformats.org/officeDocument/2006/relationships/hyperlink" Target="https://facebook.com/www.primature.gov.ml" TargetMode="External"/><Relationship Id="rId80" Type="http://schemas.openxmlformats.org/officeDocument/2006/relationships/hyperlink" Target="https://facebook.com/Aussenministerium" TargetMode="External"/><Relationship Id="rId176" Type="http://schemas.openxmlformats.org/officeDocument/2006/relationships/hyperlink" Target="https://facebook.com/gisbarbados" TargetMode="External"/><Relationship Id="rId383" Type="http://schemas.openxmlformats.org/officeDocument/2006/relationships/hyperlink" Target="https://facebook.com/presidencebenin" TargetMode="External"/><Relationship Id="rId590" Type="http://schemas.openxmlformats.org/officeDocument/2006/relationships/hyperlink" Target="https://facebook.com/VGKatrinJakobsdottir" TargetMode="External"/><Relationship Id="rId604" Type="http://schemas.openxmlformats.org/officeDocument/2006/relationships/hyperlink" Target="https://facebook.com/Soumeylou-Boubeye-Maiga-252932994776447/" TargetMode="External"/><Relationship Id="rId811" Type="http://schemas.openxmlformats.org/officeDocument/2006/relationships/hyperlink" Target="https://facebook.com/ForeignMinistryJo" TargetMode="External"/><Relationship Id="rId1027" Type="http://schemas.openxmlformats.org/officeDocument/2006/relationships/hyperlink" Target="https://facebook.com/Pres.Rouhani" TargetMode="External"/><Relationship Id="rId1234" Type="http://schemas.openxmlformats.org/officeDocument/2006/relationships/hyperlink" Target="https://facebook.com/cdajoaolourenco" TargetMode="External"/><Relationship Id="rId243" Type="http://schemas.openxmlformats.org/officeDocument/2006/relationships/hyperlink" Target="https://facebook.com/KerstiKaljulaid" TargetMode="External"/><Relationship Id="rId450" Type="http://schemas.openxmlformats.org/officeDocument/2006/relationships/hyperlink" Target="https://facebook.com/Segegob" TargetMode="External"/><Relationship Id="rId688" Type="http://schemas.openxmlformats.org/officeDocument/2006/relationships/hyperlink" Target="https://facebook.com/Quirinale-1531737037092929" TargetMode="External"/><Relationship Id="rId895" Type="http://schemas.openxmlformats.org/officeDocument/2006/relationships/hyperlink" Target="https://facebook.com/KhemaiesJhinaoui" TargetMode="External"/><Relationship Id="rId909" Type="http://schemas.openxmlformats.org/officeDocument/2006/relationships/hyperlink" Target="https://facebook.com/leehsienloong" TargetMode="External"/><Relationship Id="rId1080" Type="http://schemas.openxmlformats.org/officeDocument/2006/relationships/hyperlink" Target="https://facebook.com/rdussey" TargetMode="External"/><Relationship Id="rId1301" Type="http://schemas.openxmlformats.org/officeDocument/2006/relationships/hyperlink" Target="http://www.facebook.com/417747541641010" TargetMode="External"/><Relationship Id="rId38" Type="http://schemas.openxmlformats.org/officeDocument/2006/relationships/hyperlink" Target="https://facebook.com/Presidencia-de-la-Rep%C3%BAblica-de-Panama-529224993865914" TargetMode="External"/><Relationship Id="rId103" Type="http://schemas.openxmlformats.org/officeDocument/2006/relationships/hyperlink" Target="https://facebook.com/cancilleriapma" TargetMode="External"/><Relationship Id="rId310" Type="http://schemas.openxmlformats.org/officeDocument/2006/relationships/hyperlink" Target="https://facebook.com/MinPresidencia" TargetMode="External"/><Relationship Id="rId548" Type="http://schemas.openxmlformats.org/officeDocument/2006/relationships/hyperlink" Target="https://facebook.com/campaignforleo" TargetMode="External"/><Relationship Id="rId755" Type="http://schemas.openxmlformats.org/officeDocument/2006/relationships/hyperlink" Target="https://facebook.com/CasaPresidencialdeHonduras" TargetMode="External"/><Relationship Id="rId962" Type="http://schemas.openxmlformats.org/officeDocument/2006/relationships/hyperlink" Target="https://facebook.com/mofa.gov.ly" TargetMode="External"/><Relationship Id="rId1178" Type="http://schemas.openxmlformats.org/officeDocument/2006/relationships/hyperlink" Target="https://facebook.com/JorgeFaurie" TargetMode="External"/><Relationship Id="rId91" Type="http://schemas.openxmlformats.org/officeDocument/2006/relationships/hyperlink" Target="https://facebook.com/borutpahor.si" TargetMode="External"/><Relationship Id="rId187" Type="http://schemas.openxmlformats.org/officeDocument/2006/relationships/hyperlink" Target="https://facebook.com/GouvGn" TargetMode="External"/><Relationship Id="rId394" Type="http://schemas.openxmlformats.org/officeDocument/2006/relationships/hyperlink" Target="https://facebook.com/PresidenciaElSalvador" TargetMode="External"/><Relationship Id="rId408" Type="http://schemas.openxmlformats.org/officeDocument/2006/relationships/hyperlink" Target="https://facebook.com/PresidentIRL" TargetMode="External"/><Relationship Id="rId615" Type="http://schemas.openxmlformats.org/officeDocument/2006/relationships/hyperlink" Target="https://facebook.com/Bundeskanzleramt.gv.at" TargetMode="External"/><Relationship Id="rId822" Type="http://schemas.openxmlformats.org/officeDocument/2006/relationships/hyperlink" Target="https://facebook.com/GebranBassil" TargetMode="External"/><Relationship Id="rId1038" Type="http://schemas.openxmlformats.org/officeDocument/2006/relationships/hyperlink" Target="https://facebook.com/PresidenceSenegal" TargetMode="External"/><Relationship Id="rId1245" Type="http://schemas.openxmlformats.org/officeDocument/2006/relationships/hyperlink" Target="https://facebook.com/BersetAlain" TargetMode="External"/><Relationship Id="rId254" Type="http://schemas.openxmlformats.org/officeDocument/2006/relationships/hyperlink" Target="https://facebook.com/ksamofa" TargetMode="External"/><Relationship Id="rId699" Type="http://schemas.openxmlformats.org/officeDocument/2006/relationships/hyperlink" Target="https://facebook.com/aagbenonci" TargetMode="External"/><Relationship Id="rId1091" Type="http://schemas.openxmlformats.org/officeDocument/2006/relationships/hyperlink" Target="https://facebook.com/Salahuddin.Rabbani" TargetMode="External"/><Relationship Id="rId1105" Type="http://schemas.openxmlformats.org/officeDocument/2006/relationships/hyperlink" Target="https://facebook.com/sourikantei" TargetMode="External"/><Relationship Id="rId1312" Type="http://schemas.openxmlformats.org/officeDocument/2006/relationships/hyperlink" Target="http://www.facebook.com/758061434216773" TargetMode="External"/><Relationship Id="rId49" Type="http://schemas.openxmlformats.org/officeDocument/2006/relationships/hyperlink" Target="https://facebook.com/a2iBangladesh" TargetMode="External"/><Relationship Id="rId114" Type="http://schemas.openxmlformats.org/officeDocument/2006/relationships/hyperlink" Target="https://facebook.com/ComunicadosGobiernodeHonduras" TargetMode="External"/><Relationship Id="rId461" Type="http://schemas.openxmlformats.org/officeDocument/2006/relationships/hyperlink" Target="https://facebook.com/statehousepressofficezambia" TargetMode="External"/><Relationship Id="rId559" Type="http://schemas.openxmlformats.org/officeDocument/2006/relationships/hyperlink" Target="https://facebook.com/mfa.gov.lk" TargetMode="External"/><Relationship Id="rId766" Type="http://schemas.openxmlformats.org/officeDocument/2006/relationships/hyperlink" Target="https://facebook.com/CyprusMFA" TargetMode="External"/><Relationship Id="rId1189" Type="http://schemas.openxmlformats.org/officeDocument/2006/relationships/hyperlink" Target="https://facebook.com/TongaGovtPortal" TargetMode="External"/><Relationship Id="rId198" Type="http://schemas.openxmlformats.org/officeDocument/2006/relationships/hyperlink" Target="https://facebook.com/govuganda" TargetMode="External"/><Relationship Id="rId321" Type="http://schemas.openxmlformats.org/officeDocument/2006/relationships/hyperlink" Target="https://facebook.com/mofairlesotho" TargetMode="External"/><Relationship Id="rId419" Type="http://schemas.openxmlformats.org/officeDocument/2006/relationships/hyperlink" Target="https://facebook.com/primatureRCA" TargetMode="External"/><Relationship Id="rId626" Type="http://schemas.openxmlformats.org/officeDocument/2006/relationships/hyperlink" Target="https://facebook.com/MateuszMorawieckiPremier" TargetMode="External"/><Relationship Id="rId973" Type="http://schemas.openxmlformats.org/officeDocument/2006/relationships/hyperlink" Target="https://facebook.com/mofakr.kr" TargetMode="External"/><Relationship Id="rId1049" Type="http://schemas.openxmlformats.org/officeDocument/2006/relationships/hyperlink" Target="https://facebook.com/PresidencyZA" TargetMode="External"/><Relationship Id="rId1256" Type="http://schemas.openxmlformats.org/officeDocument/2006/relationships/hyperlink" Target="https://facebook.com/saotmn911" TargetMode="External"/><Relationship Id="rId833" Type="http://schemas.openxmlformats.org/officeDocument/2006/relationships/hyperlink" Target="https://facebook.com/gouvci.officiel" TargetMode="External"/><Relationship Id="rId1116" Type="http://schemas.openxmlformats.org/officeDocument/2006/relationships/hyperlink" Target="https://facebook.com/SupportRooseveltSkerrit" TargetMode="External"/><Relationship Id="rId265" Type="http://schemas.openxmlformats.org/officeDocument/2006/relationships/hyperlink" Target="https://facebook.com/mae.romania" TargetMode="External"/><Relationship Id="rId472" Type="http://schemas.openxmlformats.org/officeDocument/2006/relationships/hyperlink" Target="https://facebook.com/tcbestepe" TargetMode="External"/><Relationship Id="rId900" Type="http://schemas.openxmlformats.org/officeDocument/2006/relationships/hyperlink" Target="https://facebook.com/KolindaGrabarKitarovic" TargetMode="External"/><Relationship Id="rId125" Type="http://schemas.openxmlformats.org/officeDocument/2006/relationships/hyperlink" Target="https://facebook.com/Diplomatie.Belgium" TargetMode="External"/><Relationship Id="rId332" Type="http://schemas.openxmlformats.org/officeDocument/2006/relationships/hyperlink" Target="https://facebook.com/MuhammaduBuhari" TargetMode="External"/><Relationship Id="rId777" Type="http://schemas.openxmlformats.org/officeDocument/2006/relationships/hyperlink" Target="https://facebook.com/ditmirbushati.al" TargetMode="External"/><Relationship Id="rId984" Type="http://schemas.openxmlformats.org/officeDocument/2006/relationships/hyperlink" Target="https://facebook.com/mzv.sk" TargetMode="External"/><Relationship Id="rId637" Type="http://schemas.openxmlformats.org/officeDocument/2006/relationships/hyperlink" Target="https://facebook.com/MFAUZB" TargetMode="External"/><Relationship Id="rId844" Type="http://schemas.openxmlformats.org/officeDocument/2006/relationships/hyperlink" Target="https://facebook.com/govkorea" TargetMode="External"/><Relationship Id="rId1267" Type="http://schemas.openxmlformats.org/officeDocument/2006/relationships/hyperlink" Target="https://facebook.com/statehouse.freetown" TargetMode="External"/><Relationship Id="rId276" Type="http://schemas.openxmlformats.org/officeDocument/2006/relationships/hyperlink" Target="https://facebook.com/matignon.fr" TargetMode="External"/><Relationship Id="rId483" Type="http://schemas.openxmlformats.org/officeDocument/2006/relationships/hyperlink" Target="https://facebook.com/TurkishForeignMinistry" TargetMode="External"/><Relationship Id="rId690" Type="http://schemas.openxmlformats.org/officeDocument/2006/relationships/hyperlink" Target="https://facebook.com/REPUBLIC-OF-TOGO-6683533941" TargetMode="External"/><Relationship Id="rId704" Type="http://schemas.openxmlformats.org/officeDocument/2006/relationships/hyperlink" Target="https://facebook.com/AFGHANCE" TargetMode="External"/><Relationship Id="rId911" Type="http://schemas.openxmlformats.org/officeDocument/2006/relationships/hyperlink" Target="https://facebook.com/luisguillermosolisr" TargetMode="External"/><Relationship Id="rId1127" Type="http://schemas.openxmlformats.org/officeDocument/2006/relationships/hyperlink" Target="https://facebook.com/trpresidency" TargetMode="External"/><Relationship Id="rId40" Type="http://schemas.openxmlformats.org/officeDocument/2006/relationships/hyperlink" Target="https://facebook.com/Regierung-des-F%C3%BCrstentums-Liechtenstein-1411588962478507" TargetMode="External"/><Relationship Id="rId136" Type="http://schemas.openxmlformats.org/officeDocument/2006/relationships/hyperlink" Target="https://facebook.com/Drensour" TargetMode="External"/><Relationship Id="rId343" Type="http://schemas.openxmlformats.org/officeDocument/2006/relationships/hyperlink" Target="https://facebook.com/NicosAnastasiades" TargetMode="External"/><Relationship Id="rId550" Type="http://schemas.openxmlformats.org/officeDocument/2006/relationships/hyperlink" Target="https://facebook.com/abelacarmelo" TargetMode="External"/><Relationship Id="rId788" Type="http://schemas.openxmlformats.org/officeDocument/2006/relationships/hyperlink" Target="https://facebook.com/DrWorkneh.Official" TargetMode="External"/><Relationship Id="rId995" Type="http://schemas.openxmlformats.org/officeDocument/2006/relationships/hyperlink" Target="https://facebook.com/opmguyana" TargetMode="External"/><Relationship Id="rId1180" Type="http://schemas.openxmlformats.org/officeDocument/2006/relationships/hyperlink" Target="https://facebook.com/burkina.diplomatie" TargetMode="External"/><Relationship Id="rId203" Type="http://schemas.openxmlformats.org/officeDocument/2006/relationships/hyperlink" Target="https://facebook.com/GuvernulRepubliciiMoldova" TargetMode="External"/><Relationship Id="rId648" Type="http://schemas.openxmlformats.org/officeDocument/2006/relationships/hyperlink" Target="https://facebook.com/LindiweSisuluSA" TargetMode="External"/><Relationship Id="rId855" Type="http://schemas.openxmlformats.org/officeDocument/2006/relationships/hyperlink" Target="https://facebook.com/HashimThaciOfficial" TargetMode="External"/><Relationship Id="rId1040" Type="http://schemas.openxmlformats.org/officeDocument/2006/relationships/hyperlink" Target="https://facebook.com/Presidencia.cv" TargetMode="External"/><Relationship Id="rId1278" Type="http://schemas.openxmlformats.org/officeDocument/2006/relationships/hyperlink" Target="https://facebook.com/presidentpierrenkurunziza" TargetMode="External"/><Relationship Id="rId287" Type="http://schemas.openxmlformats.org/officeDocument/2006/relationships/hyperlink" Target="https://facebook.com/MFABulgaria" TargetMode="External"/><Relationship Id="rId410" Type="http://schemas.openxmlformats.org/officeDocument/2006/relationships/hyperlink" Target="https://facebook.com/PresidentOfficeRMI" TargetMode="External"/><Relationship Id="rId494" Type="http://schemas.openxmlformats.org/officeDocument/2006/relationships/hyperlink" Target="https://facebook.com/USAbilAraby" TargetMode="External"/><Relationship Id="rId508" Type="http://schemas.openxmlformats.org/officeDocument/2006/relationships/hyperlink" Target="https://facebook.com/vladaOCDrs" TargetMode="External"/><Relationship Id="rId715" Type="http://schemas.openxmlformats.org/officeDocument/2006/relationships/hyperlink" Target="https://facebook.com/AndrejKiska" TargetMode="External"/><Relationship Id="rId922" Type="http://schemas.openxmlformats.org/officeDocument/2006/relationships/hyperlink" Target="https://facebook.com/MaltaGov" TargetMode="External"/><Relationship Id="rId1138" Type="http://schemas.openxmlformats.org/officeDocument/2006/relationships/hyperlink" Target="https://facebook.com/UkraineMFA" TargetMode="External"/><Relationship Id="rId147" Type="http://schemas.openxmlformats.org/officeDocument/2006/relationships/hyperlink" Target="https://facebook.com/emansionliberia" TargetMode="External"/><Relationship Id="rId354" Type="http://schemas.openxmlformats.org/officeDocument/2006/relationships/hyperlink" Target="https://facebook.com/PalaciodelaMoncloa" TargetMode="External"/><Relationship Id="rId799" Type="http://schemas.openxmlformats.org/officeDocument/2006/relationships/hyperlink" Target="https://facebook.com/ernasolberg" TargetMode="External"/><Relationship Id="rId1191" Type="http://schemas.openxmlformats.org/officeDocument/2006/relationships/hyperlink" Target="https://facebook.com/Ilir-Meta-1477517792294489" TargetMode="External"/><Relationship Id="rId1205" Type="http://schemas.openxmlformats.org/officeDocument/2006/relationships/hyperlink" Target="https://facebook.com/President.Mahmoud.Abbas" TargetMode="External"/><Relationship Id="rId51" Type="http://schemas.openxmlformats.org/officeDocument/2006/relationships/hyperlink" Target="https://facebook.com/Abdelazizbouteflikaofficielle" TargetMode="External"/><Relationship Id="rId561" Type="http://schemas.openxmlformats.org/officeDocument/2006/relationships/hyperlink" Target="https://facebook.com/mfaguyana" TargetMode="External"/><Relationship Id="rId659" Type="http://schemas.openxmlformats.org/officeDocument/2006/relationships/hyperlink" Target="https://facebook.com/Primature-de-la-Republique-du-Tchad-119987794693584" TargetMode="External"/><Relationship Id="rId866" Type="http://schemas.openxmlformats.org/officeDocument/2006/relationships/hyperlink" Target="https://facebook.com/IraqPMMediaOffice" TargetMode="External"/><Relationship Id="rId1289" Type="http://schemas.openxmlformats.org/officeDocument/2006/relationships/hyperlink" Target="https://facebook.com/embaettiforseta" TargetMode="External"/><Relationship Id="rId214" Type="http://schemas.openxmlformats.org/officeDocument/2006/relationships/hyperlink" Target="https://facebook.com/hunsencambodia" TargetMode="External"/><Relationship Id="rId298" Type="http://schemas.openxmlformats.org/officeDocument/2006/relationships/hyperlink" Target="https://facebook.com/MfaSomalia" TargetMode="External"/><Relationship Id="rId421" Type="http://schemas.openxmlformats.org/officeDocument/2006/relationships/hyperlink" Target="https://facebook.com/primeminister.int" TargetMode="External"/><Relationship Id="rId519" Type="http://schemas.openxmlformats.org/officeDocument/2006/relationships/hyperlink" Target="https://facebook.com/www.primature.gov.rw" TargetMode="External"/><Relationship Id="rId1051" Type="http://schemas.openxmlformats.org/officeDocument/2006/relationships/hyperlink" Target="https://facebook.com/president.gov.ua" TargetMode="External"/><Relationship Id="rId1149" Type="http://schemas.openxmlformats.org/officeDocument/2006/relationships/hyperlink" Target="https://facebook.com/utanrikisraduneytid" TargetMode="External"/><Relationship Id="rId158" Type="http://schemas.openxmlformats.org/officeDocument/2006/relationships/hyperlink" Target="https://facebook.com/FijianGovernment" TargetMode="External"/><Relationship Id="rId726" Type="http://schemas.openxmlformats.org/officeDocument/2006/relationships/hyperlink" Target="https://facebook.com/ARG1880" TargetMode="External"/><Relationship Id="rId933" Type="http://schemas.openxmlformats.org/officeDocument/2006/relationships/hyperlink" Target="https://facebook.com/mfa.gr" TargetMode="External"/><Relationship Id="rId1009" Type="http://schemas.openxmlformats.org/officeDocument/2006/relationships/hyperlink" Target="https://facebook.com/PatriceTalon.PR" TargetMode="External"/><Relationship Id="rId62" Type="http://schemas.openxmlformats.org/officeDocument/2006/relationships/hyperlink" Target="https://facebook.com/alscosta" TargetMode="External"/><Relationship Id="rId365" Type="http://schemas.openxmlformats.org/officeDocument/2006/relationships/hyperlink" Target="https://facebook.com/pid.gov.official" TargetMode="External"/><Relationship Id="rId572" Type="http://schemas.openxmlformats.org/officeDocument/2006/relationships/hyperlink" Target="https://facebook.com/FEGnassingbe" TargetMode="External"/><Relationship Id="rId1216" Type="http://schemas.openxmlformats.org/officeDocument/2006/relationships/hyperlink" Target="https://facebook.com/Mirziyoyev" TargetMode="External"/><Relationship Id="rId225" Type="http://schemas.openxmlformats.org/officeDocument/2006/relationships/hyperlink" Target="https://facebook.com/Japan.PMO" TargetMode="External"/><Relationship Id="rId432" Type="http://schemas.openxmlformats.org/officeDocument/2006/relationships/hyperlink" Target="https://facebook.com/RecepTayyipErdogan" TargetMode="External"/><Relationship Id="rId877" Type="http://schemas.openxmlformats.org/officeDocument/2006/relationships/hyperlink" Target="https://facebook.com/jglafontant" TargetMode="External"/><Relationship Id="rId1062" Type="http://schemas.openxmlformats.org/officeDocument/2006/relationships/hyperlink" Target="https://facebook.com/PresidentYAG" TargetMode="External"/><Relationship Id="rId737" Type="http://schemas.openxmlformats.org/officeDocument/2006/relationships/hyperlink" Target="https://facebook.com/bhutan.gov.bt" TargetMode="External"/><Relationship Id="rId944" Type="http://schemas.openxmlformats.org/officeDocument/2006/relationships/hyperlink" Target="https://facebook.com/mfamongoliaENG" TargetMode="External"/><Relationship Id="rId73" Type="http://schemas.openxmlformats.org/officeDocument/2006/relationships/hyperlink" Target="https://facebook.com/AntonioCostaSG" TargetMode="External"/><Relationship Id="rId169" Type="http://schemas.openxmlformats.org/officeDocument/2006/relationships/hyperlink" Target="https://facebook.com/freelandchrystia" TargetMode="External"/><Relationship Id="rId376" Type="http://schemas.openxmlformats.org/officeDocument/2006/relationships/hyperlink" Target="https://facebook.com/PRC.CabinetCivil" TargetMode="External"/><Relationship Id="rId583" Type="http://schemas.openxmlformats.org/officeDocument/2006/relationships/hyperlink" Target="https://facebook.com/jaarreaza.ve" TargetMode="External"/><Relationship Id="rId790" Type="http://schemas.openxmlformats.org/officeDocument/2006/relationships/hyperlink" Target="https://facebook.com/edirama.al" TargetMode="External"/><Relationship Id="rId804" Type="http://schemas.openxmlformats.org/officeDocument/2006/relationships/hyperlink" Target="https://facebook.com/EuropeanExternalActionService" TargetMode="External"/><Relationship Id="rId1227" Type="http://schemas.openxmlformats.org/officeDocument/2006/relationships/hyperlink" Target="https://facebook.com/ShahriarAlamMp" TargetMode="External"/><Relationship Id="rId4" Type="http://schemas.openxmlformats.org/officeDocument/2006/relationships/hyperlink" Target="https://facebook.com/Governo-de-Portugal-548265471873786" TargetMode="External"/><Relationship Id="rId236" Type="http://schemas.openxmlformats.org/officeDocument/2006/relationships/hyperlink" Target="https://facebook.com/JunckerEU" TargetMode="External"/><Relationship Id="rId443" Type="http://schemas.openxmlformats.org/officeDocument/2006/relationships/hyperlink" Target="https://facebook.com/samoagovt" TargetMode="External"/><Relationship Id="rId650" Type="http://schemas.openxmlformats.org/officeDocument/2006/relationships/hyperlink" Target="https://facebook.com/Primature-Lapani-Mahazoarivo-727643947321702" TargetMode="External"/><Relationship Id="rId888" Type="http://schemas.openxmlformats.org/officeDocument/2006/relationships/hyperlink" Target="https://facebook.com/KabminUA" TargetMode="External"/><Relationship Id="rId1073" Type="http://schemas.openxmlformats.org/officeDocument/2006/relationships/hyperlink" Target="https://facebook.com/PrimeMinisterKR" TargetMode="External"/><Relationship Id="rId1280" Type="http://schemas.openxmlformats.org/officeDocument/2006/relationships/hyperlink" Target="https://facebook.com/UlissesCorreiaSilva" TargetMode="External"/><Relationship Id="rId303" Type="http://schemas.openxmlformats.org/officeDocument/2006/relationships/hyperlink" Target="https://facebook.com/minex.guatemala.9" TargetMode="External"/><Relationship Id="rId748" Type="http://schemas.openxmlformats.org/officeDocument/2006/relationships/hyperlink" Target="https://facebook.com/CancilleriaBolivia" TargetMode="External"/><Relationship Id="rId955" Type="http://schemas.openxmlformats.org/officeDocument/2006/relationships/hyperlink" Target="https://facebook.com/ministerio.exteriores.sv" TargetMode="External"/><Relationship Id="rId1140" Type="http://schemas.openxmlformats.org/officeDocument/2006/relationships/hyperlink" Target="https://facebook.com/ulkoministerio" TargetMode="External"/><Relationship Id="rId84" Type="http://schemas.openxmlformats.org/officeDocument/2006/relationships/hyperlink" Target="https://facebook.com/bdbnepal" TargetMode="External"/><Relationship Id="rId387" Type="http://schemas.openxmlformats.org/officeDocument/2006/relationships/hyperlink" Target="https://facebook.com/PresidenceGabon" TargetMode="External"/><Relationship Id="rId510" Type="http://schemas.openxmlformats.org/officeDocument/2006/relationships/hyperlink" Target="https://facebook.com/volodymyrgroysman" TargetMode="External"/><Relationship Id="rId594" Type="http://schemas.openxmlformats.org/officeDocument/2006/relationships/hyperlink" Target="https://facebook.com/pm.gov.dz" TargetMode="External"/><Relationship Id="rId608" Type="http://schemas.openxmlformats.org/officeDocument/2006/relationships/hyperlink" Target="https://facebook.com/AlbanianMEFA" TargetMode="External"/><Relationship Id="rId815" Type="http://schemas.openxmlformats.org/officeDocument/2006/relationships/hyperlink" Target="https://facebook.com/fortalezaproficial" TargetMode="External"/><Relationship Id="rId1238" Type="http://schemas.openxmlformats.org/officeDocument/2006/relationships/hyperlink" Target="https://facebook.com/Ignazio-Cassis-486301424808499" TargetMode="External"/><Relationship Id="rId247" Type="http://schemas.openxmlformats.org/officeDocument/2006/relationships/hyperlink" Target="https://facebook.com/KingJigmeKhesar" TargetMode="External"/><Relationship Id="rId899" Type="http://schemas.openxmlformats.org/officeDocument/2006/relationships/hyperlink" Target="https://facebook.com/KMassimovE" TargetMode="External"/><Relationship Id="rId1000" Type="http://schemas.openxmlformats.org/officeDocument/2006/relationships/hyperlink" Target="https://facebook.com/TheAsoVilla" TargetMode="External"/><Relationship Id="rId1084" Type="http://schemas.openxmlformats.org/officeDocument/2006/relationships/hyperlink" Target="https://facebook.com/rochkabore15" TargetMode="External"/><Relationship Id="rId1305" Type="http://schemas.openxmlformats.org/officeDocument/2006/relationships/hyperlink" Target="http://www.facebook.com/154092474632496" TargetMode="External"/><Relationship Id="rId107" Type="http://schemas.openxmlformats.org/officeDocument/2006/relationships/hyperlink" Target="https://facebook.com/casarosadaargentina" TargetMode="External"/><Relationship Id="rId454" Type="http://schemas.openxmlformats.org/officeDocument/2006/relationships/hyperlink" Target="https://facebook.com/SLGovernment" TargetMode="External"/><Relationship Id="rId661" Type="http://schemas.openxmlformats.org/officeDocument/2006/relationships/hyperlink" Target="https://facebook.com/Kryeministria-e-republikes-se-Shqiperise-772125672825922" TargetMode="External"/><Relationship Id="rId759" Type="http://schemas.openxmlformats.org/officeDocument/2006/relationships/hyperlink" Target="https://facebook.com/compresidencemadagascar" TargetMode="External"/><Relationship Id="rId966" Type="http://schemas.openxmlformats.org/officeDocument/2006/relationships/hyperlink" Target="https://facebook.com/mofa.oman" TargetMode="External"/><Relationship Id="rId1291" Type="http://schemas.openxmlformats.org/officeDocument/2006/relationships/hyperlink" Target="https://facebook.com/RaimondsVejonis" TargetMode="External"/><Relationship Id="rId11" Type="http://schemas.openxmlformats.org/officeDocument/2006/relationships/hyperlink" Target="https://facebook.com/Prime-Minister-office-of-Mongolia-135047926675334" TargetMode="External"/><Relationship Id="rId314" Type="http://schemas.openxmlformats.org/officeDocument/2006/relationships/hyperlink" Target="https://facebook.com/MOFA.IQ" TargetMode="External"/><Relationship Id="rId398" Type="http://schemas.openxmlformats.org/officeDocument/2006/relationships/hyperlink" Target="https://facebook.com/PresidenciaRD" TargetMode="External"/><Relationship Id="rId521" Type="http://schemas.openxmlformats.org/officeDocument/2006/relationships/hyperlink" Target="https://facebook.com/wwwvladahr" TargetMode="External"/><Relationship Id="rId619" Type="http://schemas.openxmlformats.org/officeDocument/2006/relationships/hyperlink" Target="https://facebook.com/vanuatuogcio" TargetMode="External"/><Relationship Id="rId1151" Type="http://schemas.openxmlformats.org/officeDocument/2006/relationships/hyperlink" Target="https://facebook.com/valdibasmaja" TargetMode="External"/><Relationship Id="rId1249" Type="http://schemas.openxmlformats.org/officeDocument/2006/relationships/hyperlink" Target="https://facebook.com/spinera" TargetMode="External"/><Relationship Id="rId95" Type="http://schemas.openxmlformats.org/officeDocument/2006/relationships/hyperlink" Target="https://facebook.com/CanadaFP" TargetMode="External"/><Relationship Id="rId160" Type="http://schemas.openxmlformats.org/officeDocument/2006/relationships/hyperlink" Target="https://facebook.com/foreign.affairs.fiji" TargetMode="External"/><Relationship Id="rId826" Type="http://schemas.openxmlformats.org/officeDocument/2006/relationships/hyperlink" Target="https://facebook.com/GISgrenada" TargetMode="External"/><Relationship Id="rId1011" Type="http://schemas.openxmlformats.org/officeDocument/2006/relationships/hyperlink" Target="https://facebook.com/Pavel.FilipPM" TargetMode="External"/><Relationship Id="rId1109" Type="http://schemas.openxmlformats.org/officeDocument/2006/relationships/hyperlink" Target="https://facebook.com/StateHouseMw" TargetMode="External"/><Relationship Id="rId258" Type="http://schemas.openxmlformats.org/officeDocument/2006/relationships/hyperlink" Target="https://facebook.com/larsloekke" TargetMode="External"/><Relationship Id="rId465" Type="http://schemas.openxmlformats.org/officeDocument/2006/relationships/hyperlink" Target="https://facebook.com/stenbockimaja" TargetMode="External"/><Relationship Id="rId672" Type="http://schemas.openxmlformats.org/officeDocument/2006/relationships/hyperlink" Target="https://facebook.com/Amb-Dr-Amina-C-Mohammed-243558335851543" TargetMode="External"/><Relationship Id="rId1095" Type="http://schemas.openxmlformats.org/officeDocument/2006/relationships/hyperlink" Target="https://facebook.com/SassouCG" TargetMode="External"/><Relationship Id="rId22" Type="http://schemas.openxmlformats.org/officeDocument/2006/relationships/hyperlink" Target="https://facebook.com/%D8%B3%D8%A7%D9%85%D8%AD-%D8%B4%D9%83%D8%B1%D9%8A-1479684935601755" TargetMode="External"/><Relationship Id="rId118" Type="http://schemas.openxmlformats.org/officeDocument/2006/relationships/hyperlink" Target="https://facebook.com/D.Grybauskaite" TargetMode="External"/><Relationship Id="rId325" Type="http://schemas.openxmlformats.org/officeDocument/2006/relationships/hyperlink" Target="https://facebook.com/MOFAKuwait" TargetMode="External"/><Relationship Id="rId532" Type="http://schemas.openxmlformats.org/officeDocument/2006/relationships/hyperlink" Target="https://facebook.com/Amadou-GON-Coulibaly-776372942486246" TargetMode="External"/><Relationship Id="rId977" Type="http://schemas.openxmlformats.org/officeDocument/2006/relationships/hyperlink" Target="https://facebook.com/mofapk" TargetMode="External"/><Relationship Id="rId1162" Type="http://schemas.openxmlformats.org/officeDocument/2006/relationships/hyperlink" Target="https://facebook.com/WhiteHouse" TargetMode="External"/><Relationship Id="rId171" Type="http://schemas.openxmlformats.org/officeDocument/2006/relationships/hyperlink" Target="https://facebook.com/gabon.primature" TargetMode="External"/><Relationship Id="rId837" Type="http://schemas.openxmlformats.org/officeDocument/2006/relationships/hyperlink" Target="https://facebook.com/gov.sg" TargetMode="External"/><Relationship Id="rId1022" Type="http://schemas.openxmlformats.org/officeDocument/2006/relationships/hyperlink" Target="https://facebook.com/portalbrasil" TargetMode="External"/><Relationship Id="rId269" Type="http://schemas.openxmlformats.org/officeDocument/2006/relationships/hyperlink" Target="https://facebook.com/MahamadouIssoufoupresident" TargetMode="External"/><Relationship Id="rId476" Type="http://schemas.openxmlformats.org/officeDocument/2006/relationships/hyperlink" Target="https://facebook.com/TheBritishMonarchy" TargetMode="External"/><Relationship Id="rId683" Type="http://schemas.openxmlformats.org/officeDocument/2006/relationships/hyperlink" Target="https://facebook.com/Ministry-of-Foreign-Affairs-Botswana-281137451918748" TargetMode="External"/><Relationship Id="rId890" Type="http://schemas.openxmlformats.org/officeDocument/2006/relationships/hyperlink" Target="https://facebook.com/KazakhstanMFA" TargetMode="External"/><Relationship Id="rId904" Type="http://schemas.openxmlformats.org/officeDocument/2006/relationships/hyperlink" Target="https://facebook.com/Kungahuset" TargetMode="External"/><Relationship Id="rId33" Type="http://schemas.openxmlformats.org/officeDocument/2006/relationships/hyperlink" Target="https://facebook.com/Ministry-of-Foreign-Affairs-Belize-511449525613301" TargetMode="External"/><Relationship Id="rId129" Type="http://schemas.openxmlformats.org/officeDocument/2006/relationships/hyperlink" Target="https://facebook.com/Dmitry.Medvedev" TargetMode="External"/><Relationship Id="rId336" Type="http://schemas.openxmlformats.org/officeDocument/2006/relationships/hyperlink" Target="https://facebook.com/mzvcr" TargetMode="External"/><Relationship Id="rId543" Type="http://schemas.openxmlformats.org/officeDocument/2006/relationships/hyperlink" Target="https://facebook.com/opmgbi" TargetMode="External"/><Relationship Id="rId988" Type="http://schemas.openxmlformats.org/officeDocument/2006/relationships/hyperlink" Target="https://facebook.com/NamibianPresidency" TargetMode="External"/><Relationship Id="rId1173" Type="http://schemas.openxmlformats.org/officeDocument/2006/relationships/hyperlink" Target="https://facebook.com/Karen.Karapetyan" TargetMode="External"/><Relationship Id="rId182" Type="http://schemas.openxmlformats.org/officeDocument/2006/relationships/hyperlink" Target="https://facebook.com/gobmx" TargetMode="External"/><Relationship Id="rId403" Type="http://schemas.openxmlformats.org/officeDocument/2006/relationships/hyperlink" Target="https://facebook.com/PresidentAlphaCondeGuinee" TargetMode="External"/><Relationship Id="rId750" Type="http://schemas.openxmlformats.org/officeDocument/2006/relationships/hyperlink" Target="https://facebook.com/CancilleriaCostaRica" TargetMode="External"/><Relationship Id="rId848" Type="http://schemas.openxmlformats.org/officeDocument/2006/relationships/hyperlink" Target="https://facebook.com/govuz" TargetMode="External"/><Relationship Id="rId1033" Type="http://schemas.openxmlformats.org/officeDocument/2006/relationships/hyperlink" Target="https://facebook.com/PresidenceBurundi" TargetMode="External"/><Relationship Id="rId487" Type="http://schemas.openxmlformats.org/officeDocument/2006/relationships/hyperlink" Target="https://facebook.com/UgandaMediaCentre" TargetMode="External"/><Relationship Id="rId610" Type="http://schemas.openxmlformats.org/officeDocument/2006/relationships/hyperlink" Target="https://facebook.com/MarcelAmonTanoh" TargetMode="External"/><Relationship Id="rId694" Type="http://schemas.openxmlformats.org/officeDocument/2006/relationships/hyperlink" Target="https://facebook.com/mfarighana" TargetMode="External"/><Relationship Id="rId708" Type="http://schemas.openxmlformats.org/officeDocument/2006/relationships/hyperlink" Target="https://facebook.com/alibongoondimba" TargetMode="External"/><Relationship Id="rId915" Type="http://schemas.openxmlformats.org/officeDocument/2006/relationships/hyperlink" Target="https://facebook.com/MAECHaiti" TargetMode="External"/><Relationship Id="rId1240" Type="http://schemas.openxmlformats.org/officeDocument/2006/relationships/hyperlink" Target="https://facebook.com/ukhurelsukh/" TargetMode="External"/><Relationship Id="rId347" Type="http://schemas.openxmlformats.org/officeDocument/2006/relationships/hyperlink" Target="https://facebook.com/OPMTT" TargetMode="External"/><Relationship Id="rId999" Type="http://schemas.openxmlformats.org/officeDocument/2006/relationships/hyperlink" Target="https://facebook.com/ortcomkz" TargetMode="External"/><Relationship Id="rId1100" Type="http://schemas.openxmlformats.org/officeDocument/2006/relationships/hyperlink" Target="https://facebook.com/Setkabgoid" TargetMode="External"/><Relationship Id="rId1184" Type="http://schemas.openxmlformats.org/officeDocument/2006/relationships/hyperlink" Target="https://facebook.com/YoulaPremierministre" TargetMode="External"/><Relationship Id="rId44" Type="http://schemas.openxmlformats.org/officeDocument/2006/relationships/hyperlink" Target="https://facebook.com/Fernando-Zavala-Lombardi-153149818440394" TargetMode="External"/><Relationship Id="rId554" Type="http://schemas.openxmlformats.org/officeDocument/2006/relationships/hyperlink" Target="https://facebook.com/NDimitrovMK" TargetMode="External"/><Relationship Id="rId761" Type="http://schemas.openxmlformats.org/officeDocument/2006/relationships/hyperlink" Target="https://facebook.com/ComunicacionEcuador" TargetMode="External"/><Relationship Id="rId859" Type="http://schemas.openxmlformats.org/officeDocument/2006/relationships/hyperlink" Target="https://facebook.com/HetKoninklijkHuis" TargetMode="External"/><Relationship Id="rId193" Type="http://schemas.openxmlformats.org/officeDocument/2006/relationships/hyperlink" Target="https://facebook.com/GovernodeCaboVerde" TargetMode="External"/><Relationship Id="rId207" Type="http://schemas.openxmlformats.org/officeDocument/2006/relationships/hyperlink" Target="https://facebook.com/HEBPMO" TargetMode="External"/><Relationship Id="rId414" Type="http://schemas.openxmlformats.org/officeDocument/2006/relationships/hyperlink" Target="https://facebook.com/PresidentYoweriKagutaMuseveni" TargetMode="External"/><Relationship Id="rId498" Type="http://schemas.openxmlformats.org/officeDocument/2006/relationships/hyperlink" Target="https://facebook.com/USAUrdu" TargetMode="External"/><Relationship Id="rId621" Type="http://schemas.openxmlformats.org/officeDocument/2006/relationships/hyperlink" Target="https://facebook.com/Ralph-Regenvanu-160258983761" TargetMode="External"/><Relationship Id="rId1044" Type="http://schemas.openxmlformats.org/officeDocument/2006/relationships/hyperlink" Target="https://facebook.com/PresidenciaMX" TargetMode="External"/><Relationship Id="rId1251" Type="http://schemas.openxmlformats.org/officeDocument/2006/relationships/hyperlink" Target="https://facebook.com/Premier-Mark-Brantley-107371062633538" TargetMode="External"/><Relationship Id="rId260" Type="http://schemas.openxmlformats.org/officeDocument/2006/relationships/hyperlink" Target="https://facebook.com/leehsienloong" TargetMode="External"/><Relationship Id="rId719" Type="http://schemas.openxmlformats.org/officeDocument/2006/relationships/hyperlink" Target="https://facebook.com/angelinoalfano.it" TargetMode="External"/><Relationship Id="rId926" Type="http://schemas.openxmlformats.org/officeDocument/2006/relationships/hyperlink" Target="https://facebook.com/mauriciomacri" TargetMode="External"/><Relationship Id="rId1111" Type="http://schemas.openxmlformats.org/officeDocument/2006/relationships/hyperlink" Target="https://facebook.com/StateHouseSey" TargetMode="External"/><Relationship Id="rId55" Type="http://schemas.openxmlformats.org/officeDocument/2006/relationships/hyperlink" Target="https://facebook.com/AFGHANCE" TargetMode="External"/><Relationship Id="rId120" Type="http://schemas.openxmlformats.org/officeDocument/2006/relationships/hyperlink" Target="https://facebook.com/danilomedinasanchez" TargetMode="External"/><Relationship Id="rId358" Type="http://schemas.openxmlformats.org/officeDocument/2006/relationships/hyperlink" Target="https://facebook.com/paologentiloni" TargetMode="External"/><Relationship Id="rId565" Type="http://schemas.openxmlformats.org/officeDocument/2006/relationships/hyperlink" Target="https://facebook.com/KantorStafPresidenRI" TargetMode="External"/><Relationship Id="rId772" Type="http://schemas.openxmlformats.org/officeDocument/2006/relationships/hyperlink" Target="https://facebook.com/DeptEstadoPR" TargetMode="External"/><Relationship Id="rId1195" Type="http://schemas.openxmlformats.org/officeDocument/2006/relationships/hyperlink" Target="https://facebook.com/jyledrian" TargetMode="External"/><Relationship Id="rId1209" Type="http://schemas.openxmlformats.org/officeDocument/2006/relationships/hyperlink" Target="https://facebook.com/DarrenAHenfieldFNM" TargetMode="External"/><Relationship Id="rId218" Type="http://schemas.openxmlformats.org/officeDocument/2006/relationships/hyperlink" Target="https://facebook.com/IsraeliPM" TargetMode="External"/><Relationship Id="rId425" Type="http://schemas.openxmlformats.org/officeDocument/2006/relationships/hyperlink" Target="https://facebook.com/primeministersofficepng" TargetMode="External"/><Relationship Id="rId632" Type="http://schemas.openxmlformats.org/officeDocument/2006/relationships/hyperlink" Target="https://facebook.com/Barrow-PORG-189258704928602" TargetMode="External"/><Relationship Id="rId1055" Type="http://schemas.openxmlformats.org/officeDocument/2006/relationships/hyperlink" Target="https://facebook.com/PresidentialStrategicCommunicationsUnitDigital" TargetMode="External"/><Relationship Id="rId1262" Type="http://schemas.openxmlformats.org/officeDocument/2006/relationships/hyperlink" Target="https://facebook.com/Emmerson-Dambudzo-Mnangagwa-709844565772844" TargetMode="External"/><Relationship Id="rId271" Type="http://schemas.openxmlformats.org/officeDocument/2006/relationships/hyperlink" Target="https://facebook.com/malawigovernment" TargetMode="External"/><Relationship Id="rId937" Type="http://schemas.openxmlformats.org/officeDocument/2006/relationships/hyperlink" Target="https://facebook.com/MFAEgypt" TargetMode="External"/><Relationship Id="rId1122" Type="http://schemas.openxmlformats.org/officeDocument/2006/relationships/hyperlink" Target="https://facebook.com/teamrowley" TargetMode="External"/><Relationship Id="rId66" Type="http://schemas.openxmlformats.org/officeDocument/2006/relationships/hyperlink" Target="https://facebook.com/AndrejKiska" TargetMode="External"/><Relationship Id="rId131" Type="http://schemas.openxmlformats.org/officeDocument/2006/relationships/hyperlink" Target="https://facebook.com/DOImalta" TargetMode="External"/><Relationship Id="rId369" Type="http://schemas.openxmlformats.org/officeDocument/2006/relationships/hyperlink" Target="https://facebook.com/PMOJO" TargetMode="External"/><Relationship Id="rId576" Type="http://schemas.openxmlformats.org/officeDocument/2006/relationships/hyperlink" Target="https://facebook.com/RwandaMFA" TargetMode="External"/><Relationship Id="rId783" Type="http://schemas.openxmlformats.org/officeDocument/2006/relationships/hyperlink" Target="https://facebook.com/dr.aljaffaary" TargetMode="External"/><Relationship Id="rId990" Type="http://schemas.openxmlformats.org/officeDocument/2006/relationships/hyperlink" Target="https://facebook.com/Netanyahu" TargetMode="External"/><Relationship Id="rId229" Type="http://schemas.openxmlformats.org/officeDocument/2006/relationships/hyperlink" Target="https://facebook.com/JimmyOficial" TargetMode="External"/><Relationship Id="rId436" Type="http://schemas.openxmlformats.org/officeDocument/2006/relationships/hyperlink" Target="https://facebook.com/rodyduterte" TargetMode="External"/><Relationship Id="rId643" Type="http://schemas.openxmlformats.org/officeDocument/2006/relationships/hyperlink" Target="https://facebook.com/prezidentskypalac" TargetMode="External"/><Relationship Id="rId1066" Type="http://schemas.openxmlformats.org/officeDocument/2006/relationships/hyperlink" Target="https://facebook.com/prezidentcr" TargetMode="External"/><Relationship Id="rId1273" Type="http://schemas.openxmlformats.org/officeDocument/2006/relationships/hyperlink" Target="https://facebook.com/halimahyacob" TargetMode="External"/><Relationship Id="rId850" Type="http://schemas.openxmlformats.org/officeDocument/2006/relationships/hyperlink" Target="https://facebook.com/GudlaugurThorXD" TargetMode="External"/><Relationship Id="rId948" Type="http://schemas.openxmlformats.org/officeDocument/2006/relationships/hyperlink" Target="https://facebook.com/MichelAoun" TargetMode="External"/><Relationship Id="rId1133" Type="http://schemas.openxmlformats.org/officeDocument/2006/relationships/hyperlink" Target="https://facebook.com/tzmagufuli" TargetMode="External"/><Relationship Id="rId77" Type="http://schemas.openxmlformats.org/officeDocument/2006/relationships/hyperlink" Target="https://facebook.com/ARG1880" TargetMode="External"/><Relationship Id="rId282" Type="http://schemas.openxmlformats.org/officeDocument/2006/relationships/hyperlink" Target="https://facebook.com/MFA.Armenia" TargetMode="External"/><Relationship Id="rId503" Type="http://schemas.openxmlformats.org/officeDocument/2006/relationships/hyperlink" Target="https://facebook.com/valismin" TargetMode="External"/><Relationship Id="rId587" Type="http://schemas.openxmlformats.org/officeDocument/2006/relationships/hyperlink" Target="https://facebook.com/RamushHaradinajOfficial" TargetMode="External"/><Relationship Id="rId710" Type="http://schemas.openxmlformats.org/officeDocument/2006/relationships/hyperlink" Target="https://facebook.com/aloysionunes" TargetMode="External"/><Relationship Id="rId808" Type="http://schemas.openxmlformats.org/officeDocument/2006/relationships/hyperlink" Target="https://facebook.com/flagstaffhouse" TargetMode="External"/><Relationship Id="rId8" Type="http://schemas.openxmlformats.org/officeDocument/2006/relationships/hyperlink" Target="https://facebook.com/Ministry-of-Foreign-Affairs-Maldives-434954336556544" TargetMode="External"/><Relationship Id="rId142" Type="http://schemas.openxmlformats.org/officeDocument/2006/relationships/hyperlink" Target="https://facebook.com/eGovernment.Center.Moldova" TargetMode="External"/><Relationship Id="rId447" Type="http://schemas.openxmlformats.org/officeDocument/2006/relationships/hyperlink" Target="https://facebook.com/saudiportal" TargetMode="External"/><Relationship Id="rId794" Type="http://schemas.openxmlformats.org/officeDocument/2006/relationships/hyperlink" Target="https://facebook.com/egyptgovportal" TargetMode="External"/><Relationship Id="rId1077" Type="http://schemas.openxmlformats.org/officeDocument/2006/relationships/hyperlink" Target="https://facebook.com/Rami.Hamdalla" TargetMode="External"/><Relationship Id="rId1200" Type="http://schemas.openxmlformats.org/officeDocument/2006/relationships/hyperlink" Target="https://facebook.com/alanpetercayetano" TargetMode="External"/><Relationship Id="rId654" Type="http://schemas.openxmlformats.org/officeDocument/2006/relationships/hyperlink" Target="https://facebook.com/JOMAV-Jos&#233;-Mario-Vaz-Pr&#233;sident-797477746936993" TargetMode="External"/><Relationship Id="rId861" Type="http://schemas.openxmlformats.org/officeDocument/2006/relationships/hyperlink" Target="https://facebook.com/horaciocartesoficial" TargetMode="External"/><Relationship Id="rId959" Type="http://schemas.openxmlformats.org/officeDocument/2006/relationships/hyperlink" Target="https://facebook.com/MinPresidencia" TargetMode="External"/><Relationship Id="rId1284" Type="http://schemas.openxmlformats.org/officeDocument/2006/relationships/hyperlink" Target="https://facebook.com/alkatiri.mari" TargetMode="External"/><Relationship Id="rId293" Type="http://schemas.openxmlformats.org/officeDocument/2006/relationships/hyperlink" Target="https://facebook.com/MFAIceland" TargetMode="External"/><Relationship Id="rId307" Type="http://schemas.openxmlformats.org/officeDocument/2006/relationships/hyperlink" Target="https://facebook.com/ministerpresident" TargetMode="External"/><Relationship Id="rId514" Type="http://schemas.openxmlformats.org/officeDocument/2006/relationships/hyperlink" Target="https://facebook.com/WismaPutra1" TargetMode="External"/><Relationship Id="rId721" Type="http://schemas.openxmlformats.org/officeDocument/2006/relationships/hyperlink" Target="https://facebook.com/AntiguaBarbudaGovt" TargetMode="External"/><Relationship Id="rId1144" Type="http://schemas.openxmlformats.org/officeDocument/2006/relationships/hyperlink" Target="https://facebook.com/USAdarFarsi" TargetMode="External"/><Relationship Id="rId88" Type="http://schemas.openxmlformats.org/officeDocument/2006/relationships/hyperlink" Target="https://facebook.com/bhutan.gov.bt" TargetMode="External"/><Relationship Id="rId153" Type="http://schemas.openxmlformats.org/officeDocument/2006/relationships/hyperlink" Target="https://facebook.com/EuropeanCommission" TargetMode="External"/><Relationship Id="rId360" Type="http://schemas.openxmlformats.org/officeDocument/2006/relationships/hyperlink" Target="https://facebook.com/PatriceTalon.PR" TargetMode="External"/><Relationship Id="rId598" Type="http://schemas.openxmlformats.org/officeDocument/2006/relationships/hyperlink" Target="https://facebook.com/winstonpeters" TargetMode="External"/><Relationship Id="rId819" Type="http://schemas.openxmlformats.org/officeDocument/2006/relationships/hyperlink" Target="https://facebook.com/gabinetesocialparaguay" TargetMode="External"/><Relationship Id="rId1004" Type="http://schemas.openxmlformats.org/officeDocument/2006/relationships/hyperlink" Target="https://facebook.com/palaismonaco" TargetMode="External"/><Relationship Id="rId1211" Type="http://schemas.openxmlformats.org/officeDocument/2006/relationships/hyperlink" Target="https://facebook.com/DireccionGeneraldeInformacionPresiden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N652"/>
  <sheetViews>
    <sheetView tabSelected="1" zoomScaleNormal="100" workbookViewId="0"/>
  </sheetViews>
  <sheetFormatPr defaultColWidth="15.625" defaultRowHeight="18.600000000000001" customHeight="1" x14ac:dyDescent="0.25"/>
  <cols>
    <col min="1" max="2" width="15.625" style="8"/>
    <col min="3" max="84" width="15.625" style="23"/>
    <col min="85" max="16384" width="15.625" style="8"/>
  </cols>
  <sheetData>
    <row r="1" spans="1:84" ht="18.600000000000001" customHeight="1" x14ac:dyDescent="0.25">
      <c r="A1" s="51" t="s">
        <v>7439</v>
      </c>
      <c r="B1" s="45"/>
      <c r="C1" s="39" t="s">
        <v>3846</v>
      </c>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44" t="s">
        <v>5615</v>
      </c>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70"/>
    </row>
    <row r="2" spans="1:84" ht="18.600000000000001" customHeight="1" thickBot="1" x14ac:dyDescent="0.3">
      <c r="A2" s="71" t="s">
        <v>302</v>
      </c>
      <c r="B2" s="47" t="s">
        <v>303</v>
      </c>
      <c r="C2" s="52" t="s">
        <v>7436</v>
      </c>
      <c r="D2" s="53" t="s">
        <v>4735</v>
      </c>
      <c r="E2" s="53" t="s">
        <v>3908</v>
      </c>
      <c r="F2" s="53" t="s">
        <v>3909</v>
      </c>
      <c r="G2" s="54" t="s">
        <v>2288</v>
      </c>
      <c r="H2" s="54" t="s">
        <v>3137</v>
      </c>
      <c r="I2" s="54" t="s">
        <v>264</v>
      </c>
      <c r="J2" s="54" t="s">
        <v>3910</v>
      </c>
      <c r="K2" s="54" t="s">
        <v>5184</v>
      </c>
      <c r="L2" s="54" t="s">
        <v>5185</v>
      </c>
      <c r="M2" s="54" t="s">
        <v>5186</v>
      </c>
      <c r="N2" s="53" t="s">
        <v>5187</v>
      </c>
      <c r="O2" s="54" t="s">
        <v>5188</v>
      </c>
      <c r="P2" s="54" t="s">
        <v>5189</v>
      </c>
      <c r="Q2" s="54" t="s">
        <v>5190</v>
      </c>
      <c r="R2" s="54" t="s">
        <v>5191</v>
      </c>
      <c r="S2" s="54" t="s">
        <v>5192</v>
      </c>
      <c r="T2" s="54" t="s">
        <v>5193</v>
      </c>
      <c r="U2" s="54" t="s">
        <v>5194</v>
      </c>
      <c r="V2" s="53" t="s">
        <v>3911</v>
      </c>
      <c r="W2" s="53" t="s">
        <v>301</v>
      </c>
      <c r="X2" s="53" t="s">
        <v>304</v>
      </c>
      <c r="Y2" s="53" t="s">
        <v>3912</v>
      </c>
      <c r="Z2" s="53" t="s">
        <v>3913</v>
      </c>
      <c r="AA2" s="53" t="s">
        <v>3914</v>
      </c>
      <c r="AB2" s="54" t="s">
        <v>2289</v>
      </c>
      <c r="AC2" s="54" t="s">
        <v>3915</v>
      </c>
      <c r="AD2" s="54" t="s">
        <v>3916</v>
      </c>
      <c r="AE2" s="54" t="s">
        <v>3917</v>
      </c>
      <c r="AF2" s="54" t="s">
        <v>5195</v>
      </c>
      <c r="AG2" s="54" t="s">
        <v>5196</v>
      </c>
      <c r="AH2" s="54" t="s">
        <v>3918</v>
      </c>
      <c r="AI2" s="53" t="s">
        <v>3919</v>
      </c>
      <c r="AJ2" s="54" t="s">
        <v>4783</v>
      </c>
      <c r="AK2" s="54" t="s">
        <v>3920</v>
      </c>
      <c r="AL2" s="53" t="s">
        <v>3921</v>
      </c>
      <c r="AM2" s="52" t="s">
        <v>7435</v>
      </c>
      <c r="AN2" s="53" t="s">
        <v>5208</v>
      </c>
      <c r="AO2" s="53" t="s">
        <v>265</v>
      </c>
      <c r="AP2" s="53" t="s">
        <v>266</v>
      </c>
      <c r="AQ2" s="53" t="s">
        <v>267</v>
      </c>
      <c r="AR2" s="53" t="s">
        <v>268</v>
      </c>
      <c r="AS2" s="53" t="s">
        <v>269</v>
      </c>
      <c r="AT2" s="53" t="s">
        <v>270</v>
      </c>
      <c r="AU2" s="53" t="s">
        <v>271</v>
      </c>
      <c r="AV2" s="53" t="s">
        <v>272</v>
      </c>
      <c r="AW2" s="53" t="s">
        <v>273</v>
      </c>
      <c r="AX2" s="53" t="s">
        <v>274</v>
      </c>
      <c r="AY2" s="53" t="s">
        <v>275</v>
      </c>
      <c r="AZ2" s="53" t="s">
        <v>276</v>
      </c>
      <c r="BA2" s="53" t="s">
        <v>277</v>
      </c>
      <c r="BB2" s="53" t="s">
        <v>278</v>
      </c>
      <c r="BC2" s="53" t="s">
        <v>279</v>
      </c>
      <c r="BD2" s="53" t="s">
        <v>280</v>
      </c>
      <c r="BE2" s="53" t="s">
        <v>281</v>
      </c>
      <c r="BF2" s="53" t="s">
        <v>282</v>
      </c>
      <c r="BG2" s="53" t="s">
        <v>283</v>
      </c>
      <c r="BH2" s="53" t="s">
        <v>284</v>
      </c>
      <c r="BI2" s="53" t="s">
        <v>285</v>
      </c>
      <c r="BJ2" s="53" t="s">
        <v>286</v>
      </c>
      <c r="BK2" s="53" t="s">
        <v>287</v>
      </c>
      <c r="BL2" s="53" t="s">
        <v>288</v>
      </c>
      <c r="BM2" s="53" t="s">
        <v>289</v>
      </c>
      <c r="BN2" s="53" t="s">
        <v>290</v>
      </c>
      <c r="BO2" s="53" t="s">
        <v>291</v>
      </c>
      <c r="BP2" s="53" t="s">
        <v>292</v>
      </c>
      <c r="BQ2" s="53" t="s">
        <v>293</v>
      </c>
      <c r="BR2" s="53" t="s">
        <v>294</v>
      </c>
      <c r="BS2" s="53" t="s">
        <v>295</v>
      </c>
      <c r="BT2" s="53" t="s">
        <v>296</v>
      </c>
      <c r="BU2" s="53" t="s">
        <v>297</v>
      </c>
      <c r="BV2" s="53" t="s">
        <v>298</v>
      </c>
      <c r="BW2" s="53" t="s">
        <v>299</v>
      </c>
      <c r="BX2" s="53" t="s">
        <v>300</v>
      </c>
      <c r="BY2" s="46" t="s">
        <v>4779</v>
      </c>
      <c r="BZ2" s="46" t="s">
        <v>6194</v>
      </c>
      <c r="CA2" s="46" t="s">
        <v>6170</v>
      </c>
      <c r="CB2" s="46" t="s">
        <v>6192</v>
      </c>
      <c r="CC2" s="46" t="s">
        <v>6203</v>
      </c>
      <c r="CD2" s="46" t="s">
        <v>6193</v>
      </c>
      <c r="CE2" s="46" t="s">
        <v>6176</v>
      </c>
      <c r="CF2" s="72" t="s">
        <v>6178</v>
      </c>
    </row>
    <row r="3" spans="1:84" ht="18.600000000000001" customHeight="1" x14ac:dyDescent="0.25">
      <c r="A3" s="68" t="s">
        <v>0</v>
      </c>
      <c r="B3" s="42" t="s">
        <v>311</v>
      </c>
      <c r="C3" s="37" t="s">
        <v>2295</v>
      </c>
      <c r="D3" s="22" t="s">
        <v>306</v>
      </c>
      <c r="E3" s="22" t="s">
        <v>305</v>
      </c>
      <c r="F3" s="22" t="s">
        <v>3925</v>
      </c>
      <c r="G3" s="49">
        <v>0</v>
      </c>
      <c r="H3" s="49">
        <v>0</v>
      </c>
      <c r="I3" s="49">
        <v>0</v>
      </c>
      <c r="J3" s="49">
        <v>0</v>
      </c>
      <c r="K3" s="49">
        <v>0</v>
      </c>
      <c r="L3" s="49">
        <v>0</v>
      </c>
      <c r="M3" s="49">
        <v>0</v>
      </c>
      <c r="N3" s="50">
        <v>0</v>
      </c>
      <c r="O3" s="49">
        <v>0</v>
      </c>
      <c r="P3" s="49">
        <v>0</v>
      </c>
      <c r="Q3" s="49">
        <v>0</v>
      </c>
      <c r="R3" s="49">
        <v>0</v>
      </c>
      <c r="S3" s="49">
        <v>0</v>
      </c>
      <c r="T3" s="49">
        <v>0</v>
      </c>
      <c r="U3" s="69">
        <v>0</v>
      </c>
      <c r="V3" s="56"/>
      <c r="W3" s="22" t="s">
        <v>3926</v>
      </c>
      <c r="X3" s="22" t="s">
        <v>3926</v>
      </c>
      <c r="Y3" s="22" t="s">
        <v>3926</v>
      </c>
      <c r="Z3" s="22" t="s">
        <v>3926</v>
      </c>
      <c r="AA3" s="22" t="s">
        <v>3926</v>
      </c>
      <c r="AB3" s="49" t="s">
        <v>3927</v>
      </c>
      <c r="AC3" s="49">
        <v>0</v>
      </c>
      <c r="AD3" s="49">
        <v>0</v>
      </c>
      <c r="AE3" s="49">
        <v>0</v>
      </c>
      <c r="AF3" s="49">
        <v>0</v>
      </c>
      <c r="AG3" s="49">
        <v>0</v>
      </c>
      <c r="AH3" s="49">
        <v>0</v>
      </c>
      <c r="AI3" s="22">
        <v>0</v>
      </c>
      <c r="AJ3" s="49">
        <v>1020650</v>
      </c>
      <c r="AK3" s="49">
        <v>-30447</v>
      </c>
      <c r="AL3" s="55">
        <v>-2.9000000000000001E-2</v>
      </c>
      <c r="AM3" s="37" t="s">
        <v>2295</v>
      </c>
      <c r="AN3" s="22" t="s">
        <v>305</v>
      </c>
      <c r="AO3" s="22" t="s">
        <v>305</v>
      </c>
      <c r="AP3" s="22" t="str">
        <f>"656609511072322"</f>
        <v>656609511072322</v>
      </c>
      <c r="AQ3" s="22" t="s">
        <v>306</v>
      </c>
      <c r="AR3" s="22" t="s">
        <v>307</v>
      </c>
      <c r="AS3" s="22" t="s">
        <v>308</v>
      </c>
      <c r="AT3" s="22" t="s">
        <v>2296</v>
      </c>
      <c r="AU3" s="22" t="s">
        <v>309</v>
      </c>
      <c r="AV3" s="22"/>
      <c r="AW3" s="22"/>
      <c r="AX3" s="22">
        <v>0</v>
      </c>
      <c r="AY3" s="22">
        <v>996</v>
      </c>
      <c r="AZ3" s="22">
        <v>0</v>
      </c>
      <c r="BA3" s="22" t="s">
        <v>310</v>
      </c>
      <c r="BB3" s="22"/>
      <c r="BC3" s="22" t="s">
        <v>6257</v>
      </c>
      <c r="BD3" s="22"/>
      <c r="BE3" s="22" t="s">
        <v>2291</v>
      </c>
      <c r="BF3" s="22"/>
      <c r="BG3" s="22"/>
      <c r="BH3" s="22"/>
      <c r="BI3" s="22"/>
      <c r="BJ3" s="22"/>
      <c r="BK3" s="22"/>
      <c r="BL3" s="22" t="s">
        <v>2292</v>
      </c>
      <c r="BM3" s="22" t="s">
        <v>2292</v>
      </c>
      <c r="BN3" s="22" t="s">
        <v>2292</v>
      </c>
      <c r="BO3" s="22" t="s">
        <v>2291</v>
      </c>
      <c r="BP3" s="22"/>
      <c r="BQ3" s="22"/>
      <c r="BR3" s="22"/>
      <c r="BS3" s="22"/>
      <c r="BT3" s="22"/>
      <c r="BU3" s="22"/>
      <c r="BV3" s="22"/>
      <c r="BW3" s="22"/>
      <c r="BX3" s="22"/>
      <c r="BY3" s="42" t="s">
        <v>344</v>
      </c>
      <c r="BZ3" s="42" t="s">
        <v>312</v>
      </c>
      <c r="CA3" s="42"/>
      <c r="CB3" s="42"/>
      <c r="CC3" s="42"/>
      <c r="CD3" s="42"/>
      <c r="CE3" s="42"/>
      <c r="CF3" s="42"/>
    </row>
    <row r="4" spans="1:84" ht="18.600000000000001" customHeight="1" x14ac:dyDescent="0.25">
      <c r="A4" s="60" t="s">
        <v>0</v>
      </c>
      <c r="B4" s="12" t="s">
        <v>6229</v>
      </c>
      <c r="C4" s="3" t="s">
        <v>5624</v>
      </c>
      <c r="D4" s="12" t="s">
        <v>5667</v>
      </c>
      <c r="E4" s="12" t="s">
        <v>5668</v>
      </c>
      <c r="F4" s="12" t="s">
        <v>5669</v>
      </c>
      <c r="G4" s="25">
        <v>13957</v>
      </c>
      <c r="H4" s="25">
        <v>11159</v>
      </c>
      <c r="I4" s="25">
        <v>898</v>
      </c>
      <c r="J4" s="25">
        <v>1468</v>
      </c>
      <c r="K4" s="25">
        <v>841</v>
      </c>
      <c r="L4" s="25">
        <v>391</v>
      </c>
      <c r="M4" s="25">
        <v>1232</v>
      </c>
      <c r="N4" s="31">
        <v>0.68</v>
      </c>
      <c r="O4" s="25">
        <v>0</v>
      </c>
      <c r="P4" s="25">
        <v>0</v>
      </c>
      <c r="Q4" s="25">
        <v>316</v>
      </c>
      <c r="R4" s="25">
        <v>13</v>
      </c>
      <c r="S4" s="25">
        <v>58</v>
      </c>
      <c r="T4" s="25">
        <v>12</v>
      </c>
      <c r="U4" s="61">
        <v>33</v>
      </c>
      <c r="V4" s="57">
        <v>8.9999999999999993E-3</v>
      </c>
      <c r="W4" s="55">
        <v>0</v>
      </c>
      <c r="X4" s="55">
        <v>8.8000000000000005E-3</v>
      </c>
      <c r="Y4" s="22" t="s">
        <v>3926</v>
      </c>
      <c r="Z4" s="55">
        <v>1.49E-2</v>
      </c>
      <c r="AA4" s="55">
        <v>1.1299999999999999E-2</v>
      </c>
      <c r="AB4" s="49">
        <v>238</v>
      </c>
      <c r="AC4" s="49">
        <v>6</v>
      </c>
      <c r="AD4" s="49">
        <v>215</v>
      </c>
      <c r="AE4" s="49">
        <v>0</v>
      </c>
      <c r="AF4" s="49">
        <v>1</v>
      </c>
      <c r="AG4" s="49">
        <v>0</v>
      </c>
      <c r="AH4" s="49">
        <v>16</v>
      </c>
      <c r="AI4" s="22">
        <v>0.54</v>
      </c>
      <c r="AJ4" s="49">
        <v>7895</v>
      </c>
      <c r="AK4" s="49">
        <v>0</v>
      </c>
      <c r="AL4" s="50">
        <v>0</v>
      </c>
      <c r="AM4" s="37" t="s">
        <v>5624</v>
      </c>
      <c r="AN4" s="22" t="s">
        <v>5668</v>
      </c>
      <c r="AO4" s="22" t="s">
        <v>5668</v>
      </c>
      <c r="AP4" s="22" t="str">
        <f>"175532726324106"</f>
        <v>175532726324106</v>
      </c>
      <c r="AQ4" s="22" t="s">
        <v>5667</v>
      </c>
      <c r="AR4" s="22" t="s">
        <v>5958</v>
      </c>
      <c r="AS4" s="22" t="s">
        <v>5959</v>
      </c>
      <c r="AT4" s="22"/>
      <c r="AU4" s="22" t="s">
        <v>324</v>
      </c>
      <c r="AV4" s="22" t="s">
        <v>5731</v>
      </c>
      <c r="AW4" s="22" t="s">
        <v>5960</v>
      </c>
      <c r="AX4" s="22">
        <v>126</v>
      </c>
      <c r="AY4" s="22">
        <v>464</v>
      </c>
      <c r="AZ4" s="22">
        <v>126</v>
      </c>
      <c r="BA4" s="22" t="s">
        <v>5961</v>
      </c>
      <c r="BB4" s="22" t="s">
        <v>7032</v>
      </c>
      <c r="BC4" s="22" t="s">
        <v>7033</v>
      </c>
      <c r="BD4" s="22"/>
      <c r="BE4" s="22" t="s">
        <v>2291</v>
      </c>
      <c r="BF4" s="22"/>
      <c r="BG4" s="22"/>
      <c r="BH4" s="22"/>
      <c r="BI4" s="22" t="s">
        <v>5962</v>
      </c>
      <c r="BJ4" s="22"/>
      <c r="BK4" s="22"/>
      <c r="BL4" s="22" t="s">
        <v>2292</v>
      </c>
      <c r="BM4" s="22" t="s">
        <v>2292</v>
      </c>
      <c r="BN4" s="22" t="s">
        <v>2292</v>
      </c>
      <c r="BO4" s="22" t="s">
        <v>2292</v>
      </c>
      <c r="BP4" s="22"/>
      <c r="BQ4" s="22"/>
      <c r="BR4" s="22"/>
      <c r="BS4" s="22"/>
      <c r="BT4" s="22" t="s">
        <v>5963</v>
      </c>
      <c r="BU4" s="22" t="s">
        <v>326</v>
      </c>
      <c r="BV4" s="22"/>
      <c r="BW4" s="22" t="s">
        <v>5964</v>
      </c>
      <c r="BX4" s="22"/>
      <c r="BY4" s="43" t="s">
        <v>313</v>
      </c>
      <c r="BZ4" s="43" t="s">
        <v>6174</v>
      </c>
      <c r="CA4" s="43" t="s">
        <v>6170</v>
      </c>
      <c r="CB4" s="43" t="s">
        <v>312</v>
      </c>
      <c r="CC4" s="43"/>
      <c r="CD4" s="43" t="s">
        <v>6198</v>
      </c>
      <c r="CE4" s="43"/>
      <c r="CF4" s="43"/>
    </row>
    <row r="5" spans="1:84" ht="18.600000000000001" customHeight="1" x14ac:dyDescent="0.25">
      <c r="A5" s="28" t="s">
        <v>0</v>
      </c>
      <c r="B5" s="12" t="s">
        <v>6229</v>
      </c>
      <c r="C5" s="3" t="s">
        <v>6230</v>
      </c>
      <c r="D5" s="12" t="s">
        <v>6269</v>
      </c>
      <c r="E5" s="12"/>
      <c r="F5" s="12" t="s">
        <v>7430</v>
      </c>
      <c r="G5" s="25">
        <v>983</v>
      </c>
      <c r="H5" s="25">
        <v>645</v>
      </c>
      <c r="I5" s="25">
        <v>241</v>
      </c>
      <c r="J5" s="25">
        <v>56</v>
      </c>
      <c r="K5" s="25">
        <v>0</v>
      </c>
      <c r="L5" s="25">
        <v>0</v>
      </c>
      <c r="M5" s="25">
        <v>0</v>
      </c>
      <c r="N5" s="31">
        <v>0</v>
      </c>
      <c r="O5" s="25">
        <v>0</v>
      </c>
      <c r="P5" s="25">
        <v>0</v>
      </c>
      <c r="Q5" s="25">
        <v>37</v>
      </c>
      <c r="R5" s="25">
        <v>0</v>
      </c>
      <c r="S5" s="25">
        <v>3</v>
      </c>
      <c r="T5" s="25">
        <v>0</v>
      </c>
      <c r="U5" s="61">
        <v>1</v>
      </c>
      <c r="V5" s="57">
        <v>1.5599999999999999E-2</v>
      </c>
      <c r="W5" s="55">
        <v>0</v>
      </c>
      <c r="X5" s="22" t="s">
        <v>3926</v>
      </c>
      <c r="Y5" s="22" t="s">
        <v>3926</v>
      </c>
      <c r="Z5" s="22" t="s">
        <v>3926</v>
      </c>
      <c r="AA5" s="22" t="s">
        <v>3926</v>
      </c>
      <c r="AB5" s="49">
        <v>28</v>
      </c>
      <c r="AC5" s="49">
        <v>28</v>
      </c>
      <c r="AD5" s="49">
        <v>0</v>
      </c>
      <c r="AE5" s="49">
        <v>0</v>
      </c>
      <c r="AF5" s="49">
        <v>0</v>
      </c>
      <c r="AG5" s="49">
        <v>0</v>
      </c>
      <c r="AH5" s="49">
        <v>0</v>
      </c>
      <c r="AI5" s="22">
        <v>0.06</v>
      </c>
      <c r="AJ5" s="49">
        <v>2242</v>
      </c>
      <c r="AK5" s="49">
        <v>0</v>
      </c>
      <c r="AL5" s="50">
        <v>0</v>
      </c>
      <c r="AM5" s="37" t="s">
        <v>6230</v>
      </c>
      <c r="AN5" s="22" t="s">
        <v>6268</v>
      </c>
      <c r="AO5" s="22"/>
      <c r="AP5" s="22" t="str">
        <f>"517608345237500"</f>
        <v>517608345237500</v>
      </c>
      <c r="AQ5" s="22" t="s">
        <v>6269</v>
      </c>
      <c r="AR5" s="22"/>
      <c r="AS5" s="22"/>
      <c r="AT5" s="22"/>
      <c r="AU5" s="22" t="s">
        <v>319</v>
      </c>
      <c r="AV5" s="22"/>
      <c r="AW5" s="22"/>
      <c r="AX5" s="22">
        <v>0</v>
      </c>
      <c r="AY5" s="22">
        <v>92</v>
      </c>
      <c r="AZ5" s="22">
        <v>0</v>
      </c>
      <c r="BA5" s="22" t="s">
        <v>6270</v>
      </c>
      <c r="BB5" s="22"/>
      <c r="BC5" s="22" t="s">
        <v>6271</v>
      </c>
      <c r="BD5" s="22"/>
      <c r="BE5" s="22" t="s">
        <v>2291</v>
      </c>
      <c r="BF5" s="22"/>
      <c r="BG5" s="22"/>
      <c r="BH5" s="22"/>
      <c r="BI5" s="22"/>
      <c r="BJ5" s="22"/>
      <c r="BK5" s="22"/>
      <c r="BL5" s="22" t="s">
        <v>2292</v>
      </c>
      <c r="BM5" s="22" t="s">
        <v>2292</v>
      </c>
      <c r="BN5" s="22" t="s">
        <v>2292</v>
      </c>
      <c r="BO5" s="22" t="s">
        <v>2292</v>
      </c>
      <c r="BP5" s="22"/>
      <c r="BQ5" s="22"/>
      <c r="BR5" s="22"/>
      <c r="BS5" s="22"/>
      <c r="BT5" s="22"/>
      <c r="BU5" s="22"/>
      <c r="BV5" s="22"/>
      <c r="BW5" s="22"/>
      <c r="BX5" s="22"/>
      <c r="BY5" s="42"/>
      <c r="BZ5" s="43" t="s">
        <v>6170</v>
      </c>
      <c r="CA5" s="43" t="s">
        <v>6170</v>
      </c>
      <c r="CB5" s="43" t="s">
        <v>6197</v>
      </c>
      <c r="CC5" s="43"/>
      <c r="CD5" s="43" t="s">
        <v>6198</v>
      </c>
      <c r="CE5" s="43"/>
      <c r="CF5" s="43"/>
    </row>
    <row r="6" spans="1:84" ht="18.600000000000001" customHeight="1" x14ac:dyDescent="0.25">
      <c r="A6" s="60" t="s">
        <v>0</v>
      </c>
      <c r="B6" s="2" t="s">
        <v>4982</v>
      </c>
      <c r="C6" s="3" t="s">
        <v>4983</v>
      </c>
      <c r="D6" s="12" t="s">
        <v>4984</v>
      </c>
      <c r="E6" s="12" t="s">
        <v>5084</v>
      </c>
      <c r="F6" s="12" t="s">
        <v>5085</v>
      </c>
      <c r="G6" s="25">
        <v>0</v>
      </c>
      <c r="H6" s="25">
        <v>0</v>
      </c>
      <c r="I6" s="25">
        <v>0</v>
      </c>
      <c r="J6" s="25">
        <v>0</v>
      </c>
      <c r="K6" s="25">
        <v>0</v>
      </c>
      <c r="L6" s="25">
        <v>0</v>
      </c>
      <c r="M6" s="25">
        <v>0</v>
      </c>
      <c r="N6" s="31">
        <v>0</v>
      </c>
      <c r="O6" s="25">
        <v>0</v>
      </c>
      <c r="P6" s="25">
        <v>0</v>
      </c>
      <c r="Q6" s="25">
        <v>0</v>
      </c>
      <c r="R6" s="25">
        <v>0</v>
      </c>
      <c r="S6" s="25">
        <v>0</v>
      </c>
      <c r="T6" s="25">
        <v>0</v>
      </c>
      <c r="U6" s="61">
        <v>0</v>
      </c>
      <c r="V6" s="56"/>
      <c r="W6" s="22" t="s">
        <v>3926</v>
      </c>
      <c r="X6" s="22" t="s">
        <v>3926</v>
      </c>
      <c r="Y6" s="22" t="s">
        <v>3926</v>
      </c>
      <c r="Z6" s="22" t="s">
        <v>3926</v>
      </c>
      <c r="AA6" s="22" t="s">
        <v>3926</v>
      </c>
      <c r="AB6" s="49" t="s">
        <v>3927</v>
      </c>
      <c r="AC6" s="49">
        <v>0</v>
      </c>
      <c r="AD6" s="49">
        <v>0</v>
      </c>
      <c r="AE6" s="49">
        <v>0</v>
      </c>
      <c r="AF6" s="49">
        <v>0</v>
      </c>
      <c r="AG6" s="49">
        <v>0</v>
      </c>
      <c r="AH6" s="49">
        <v>0</v>
      </c>
      <c r="AI6" s="22">
        <v>0</v>
      </c>
      <c r="AJ6" s="49">
        <v>972</v>
      </c>
      <c r="AK6" s="49">
        <v>0</v>
      </c>
      <c r="AL6" s="50">
        <v>0</v>
      </c>
      <c r="AM6" s="37" t="s">
        <v>4983</v>
      </c>
      <c r="AN6" s="22" t="s">
        <v>5084</v>
      </c>
      <c r="AO6" s="22" t="s">
        <v>5084</v>
      </c>
      <c r="AP6" s="22" t="str">
        <f>"937713852999546"</f>
        <v>937713852999546</v>
      </c>
      <c r="AQ6" s="22" t="s">
        <v>4984</v>
      </c>
      <c r="AR6" s="22" t="s">
        <v>5221</v>
      </c>
      <c r="AS6" s="22" t="s">
        <v>5222</v>
      </c>
      <c r="AT6" s="22" t="s">
        <v>5223</v>
      </c>
      <c r="AU6" s="22" t="s">
        <v>309</v>
      </c>
      <c r="AV6" s="22"/>
      <c r="AW6" s="22"/>
      <c r="AX6" s="22">
        <v>0</v>
      </c>
      <c r="AY6" s="22">
        <v>4</v>
      </c>
      <c r="AZ6" s="22">
        <v>0</v>
      </c>
      <c r="BA6" s="22" t="s">
        <v>5224</v>
      </c>
      <c r="BB6" s="22"/>
      <c r="BC6" s="22" t="s">
        <v>6261</v>
      </c>
      <c r="BD6" s="22"/>
      <c r="BE6" s="22" t="s">
        <v>2291</v>
      </c>
      <c r="BF6" s="22"/>
      <c r="BG6" s="22"/>
      <c r="BH6" s="22"/>
      <c r="BI6" s="22"/>
      <c r="BJ6" s="22"/>
      <c r="BK6" s="22"/>
      <c r="BL6" s="22" t="s">
        <v>2292</v>
      </c>
      <c r="BM6" s="22" t="s">
        <v>2292</v>
      </c>
      <c r="BN6" s="22" t="s">
        <v>2292</v>
      </c>
      <c r="BO6" s="22" t="s">
        <v>2292</v>
      </c>
      <c r="BP6" s="22"/>
      <c r="BQ6" s="22"/>
      <c r="BR6" s="22"/>
      <c r="BS6" s="22"/>
      <c r="BT6" s="22"/>
      <c r="BU6" s="22"/>
      <c r="BV6" s="22"/>
      <c r="BW6" s="22"/>
      <c r="BX6" s="22"/>
      <c r="BY6" s="42" t="s">
        <v>344</v>
      </c>
      <c r="BZ6" s="43" t="s">
        <v>6174</v>
      </c>
      <c r="CA6" s="43" t="s">
        <v>6170</v>
      </c>
      <c r="CB6" s="43" t="s">
        <v>312</v>
      </c>
      <c r="CC6" s="43"/>
      <c r="CD6" s="43" t="s">
        <v>6198</v>
      </c>
      <c r="CE6" s="43"/>
      <c r="CF6" s="43"/>
    </row>
    <row r="7" spans="1:84" ht="18.600000000000001" customHeight="1" x14ac:dyDescent="0.25">
      <c r="A7" s="60" t="s">
        <v>1</v>
      </c>
      <c r="B7" s="2" t="s">
        <v>5513</v>
      </c>
      <c r="C7" s="3" t="s">
        <v>5515</v>
      </c>
      <c r="D7" s="12" t="s">
        <v>5531</v>
      </c>
      <c r="E7" s="12" t="s">
        <v>5514</v>
      </c>
      <c r="F7" s="12" t="s">
        <v>5536</v>
      </c>
      <c r="G7" s="25">
        <v>1356400</v>
      </c>
      <c r="H7" s="25">
        <v>1094618</v>
      </c>
      <c r="I7" s="25">
        <v>111008</v>
      </c>
      <c r="J7" s="25">
        <v>121561</v>
      </c>
      <c r="K7" s="25">
        <v>149600</v>
      </c>
      <c r="L7" s="25">
        <v>195655</v>
      </c>
      <c r="M7" s="25">
        <v>345255</v>
      </c>
      <c r="N7" s="31">
        <v>0.43</v>
      </c>
      <c r="O7" s="25">
        <v>2898</v>
      </c>
      <c r="P7" s="25">
        <v>0</v>
      </c>
      <c r="Q7" s="25">
        <v>21869</v>
      </c>
      <c r="R7" s="25">
        <v>1599</v>
      </c>
      <c r="S7" s="25">
        <v>4099</v>
      </c>
      <c r="T7" s="25">
        <v>843</v>
      </c>
      <c r="U7" s="61">
        <v>795</v>
      </c>
      <c r="V7" s="57">
        <v>9.9000000000000008E-3</v>
      </c>
      <c r="W7" s="55">
        <v>1.35E-2</v>
      </c>
      <c r="X7" s="55">
        <v>5.7000000000000002E-3</v>
      </c>
      <c r="Y7" s="55">
        <v>5.4999999999999997E-3</v>
      </c>
      <c r="Z7" s="55">
        <v>5.1999999999999998E-3</v>
      </c>
      <c r="AA7" s="22" t="s">
        <v>3926</v>
      </c>
      <c r="AB7" s="49">
        <v>655</v>
      </c>
      <c r="AC7" s="49">
        <v>617</v>
      </c>
      <c r="AD7" s="49">
        <v>1</v>
      </c>
      <c r="AE7" s="49">
        <v>2</v>
      </c>
      <c r="AF7" s="49">
        <v>33</v>
      </c>
      <c r="AG7" s="49">
        <v>2</v>
      </c>
      <c r="AH7" s="49">
        <v>0</v>
      </c>
      <c r="AI7" s="22">
        <v>1.49</v>
      </c>
      <c r="AJ7" s="49">
        <v>235297</v>
      </c>
      <c r="AK7" s="49">
        <v>0</v>
      </c>
      <c r="AL7" s="50">
        <v>0</v>
      </c>
      <c r="AM7" s="37" t="s">
        <v>5515</v>
      </c>
      <c r="AN7" s="22" t="s">
        <v>5514</v>
      </c>
      <c r="AO7" s="22" t="s">
        <v>5514</v>
      </c>
      <c r="AP7" s="22" t="str">
        <f>"1780903085570150"</f>
        <v>1780903085570150</v>
      </c>
      <c r="AQ7" s="22" t="s">
        <v>5531</v>
      </c>
      <c r="AR7" s="22"/>
      <c r="AS7" s="22" t="s">
        <v>5771</v>
      </c>
      <c r="AT7" s="22"/>
      <c r="AU7" s="22" t="s">
        <v>309</v>
      </c>
      <c r="AV7" s="22"/>
      <c r="AW7" s="22"/>
      <c r="AX7" s="22">
        <v>0</v>
      </c>
      <c r="AY7" s="22">
        <v>3900</v>
      </c>
      <c r="AZ7" s="22">
        <v>0</v>
      </c>
      <c r="BA7" s="22" t="s">
        <v>5562</v>
      </c>
      <c r="BB7" s="22" t="s">
        <v>5772</v>
      </c>
      <c r="BC7" s="22"/>
      <c r="BD7" s="22"/>
      <c r="BE7" s="22" t="s">
        <v>2291</v>
      </c>
      <c r="BF7" s="22"/>
      <c r="BG7" s="22"/>
      <c r="BH7" s="22"/>
      <c r="BI7" s="22"/>
      <c r="BJ7" s="22"/>
      <c r="BK7" s="22"/>
      <c r="BL7" s="22" t="s">
        <v>2292</v>
      </c>
      <c r="BM7" s="22" t="s">
        <v>2292</v>
      </c>
      <c r="BN7" s="22" t="s">
        <v>2292</v>
      </c>
      <c r="BO7" s="22" t="s">
        <v>2292</v>
      </c>
      <c r="BP7" s="22"/>
      <c r="BQ7" s="22"/>
      <c r="BR7" s="22"/>
      <c r="BS7" s="22"/>
      <c r="BT7" s="22"/>
      <c r="BU7" s="22"/>
      <c r="BV7" s="22"/>
      <c r="BW7" s="22" t="s">
        <v>5563</v>
      </c>
      <c r="BX7" s="22"/>
      <c r="BY7" s="43" t="s">
        <v>313</v>
      </c>
      <c r="BZ7" s="43" t="s">
        <v>6170</v>
      </c>
      <c r="CA7" s="43" t="s">
        <v>6170</v>
      </c>
      <c r="CB7" s="43" t="s">
        <v>6202</v>
      </c>
      <c r="CC7" s="43" t="s">
        <v>6187</v>
      </c>
      <c r="CD7" s="43" t="s">
        <v>6195</v>
      </c>
      <c r="CE7" s="43" t="s">
        <v>6184</v>
      </c>
      <c r="CF7" s="43"/>
    </row>
    <row r="8" spans="1:84" ht="18.600000000000001" customHeight="1" x14ac:dyDescent="0.25">
      <c r="A8" s="62" t="s">
        <v>2</v>
      </c>
      <c r="B8" s="17" t="s">
        <v>3159</v>
      </c>
      <c r="C8" s="3" t="s">
        <v>3507</v>
      </c>
      <c r="D8" s="12" t="s">
        <v>3180</v>
      </c>
      <c r="E8" s="12" t="s">
        <v>3645</v>
      </c>
      <c r="F8" s="12" t="s">
        <v>4261</v>
      </c>
      <c r="G8" s="25">
        <v>164707</v>
      </c>
      <c r="H8" s="25">
        <v>115885</v>
      </c>
      <c r="I8" s="25">
        <v>20040</v>
      </c>
      <c r="J8" s="25">
        <v>21796</v>
      </c>
      <c r="K8" s="25">
        <v>299773</v>
      </c>
      <c r="L8" s="25">
        <v>321194</v>
      </c>
      <c r="M8" s="25">
        <v>620967</v>
      </c>
      <c r="N8" s="31">
        <v>0.48</v>
      </c>
      <c r="O8" s="25">
        <v>55729</v>
      </c>
      <c r="P8" s="25">
        <v>21343</v>
      </c>
      <c r="Q8" s="25">
        <v>6015</v>
      </c>
      <c r="R8" s="25">
        <v>295</v>
      </c>
      <c r="S8" s="25">
        <v>327</v>
      </c>
      <c r="T8" s="25">
        <v>148</v>
      </c>
      <c r="U8" s="61">
        <v>200</v>
      </c>
      <c r="V8" s="57">
        <v>1.44E-2</v>
      </c>
      <c r="W8" s="55">
        <v>1.9400000000000001E-2</v>
      </c>
      <c r="X8" s="22" t="s">
        <v>3926</v>
      </c>
      <c r="Y8" s="22" t="s">
        <v>3926</v>
      </c>
      <c r="Z8" s="55">
        <v>1.5599999999999999E-2</v>
      </c>
      <c r="AA8" s="55">
        <v>3.8E-3</v>
      </c>
      <c r="AB8" s="49">
        <v>56</v>
      </c>
      <c r="AC8" s="49">
        <v>30</v>
      </c>
      <c r="AD8" s="49">
        <v>0</v>
      </c>
      <c r="AE8" s="49">
        <v>0</v>
      </c>
      <c r="AF8" s="49">
        <v>13</v>
      </c>
      <c r="AG8" s="49">
        <v>12</v>
      </c>
      <c r="AH8" s="49">
        <v>1</v>
      </c>
      <c r="AI8" s="22">
        <v>0.13</v>
      </c>
      <c r="AJ8" s="49">
        <v>215312</v>
      </c>
      <c r="AK8" s="49">
        <v>34155</v>
      </c>
      <c r="AL8" s="55">
        <v>0.1885</v>
      </c>
      <c r="AM8" s="37" t="s">
        <v>3507</v>
      </c>
      <c r="AN8" s="22" t="s">
        <v>3645</v>
      </c>
      <c r="AO8" s="22" t="s">
        <v>3645</v>
      </c>
      <c r="AP8" s="22" t="str">
        <f>"743915492380777"</f>
        <v>743915492380777</v>
      </c>
      <c r="AQ8" s="22" t="s">
        <v>3180</v>
      </c>
      <c r="AR8" s="22" t="s">
        <v>4619</v>
      </c>
      <c r="AS8" s="22" t="s">
        <v>3646</v>
      </c>
      <c r="AT8" s="22" t="s">
        <v>3282</v>
      </c>
      <c r="AU8" s="22" t="s">
        <v>319</v>
      </c>
      <c r="AV8" s="22"/>
      <c r="AW8" s="22"/>
      <c r="AX8" s="22">
        <v>0</v>
      </c>
      <c r="AY8" s="22">
        <v>1716</v>
      </c>
      <c r="AZ8" s="22">
        <v>0</v>
      </c>
      <c r="BA8" s="22" t="s">
        <v>3647</v>
      </c>
      <c r="BB8" s="22"/>
      <c r="BC8" s="22" t="s">
        <v>7015</v>
      </c>
      <c r="BD8" s="22"/>
      <c r="BE8" s="22" t="s">
        <v>2291</v>
      </c>
      <c r="BF8" s="22"/>
      <c r="BG8" s="22"/>
      <c r="BH8" s="22"/>
      <c r="BI8" s="22"/>
      <c r="BJ8" s="22"/>
      <c r="BK8" s="22"/>
      <c r="BL8" s="22" t="s">
        <v>2292</v>
      </c>
      <c r="BM8" s="22" t="s">
        <v>2292</v>
      </c>
      <c r="BN8" s="22" t="s">
        <v>2292</v>
      </c>
      <c r="BO8" s="22" t="s">
        <v>2291</v>
      </c>
      <c r="BP8" s="22"/>
      <c r="BQ8" s="22"/>
      <c r="BR8" s="22"/>
      <c r="BS8" s="22"/>
      <c r="BT8" s="22"/>
      <c r="BU8" s="22"/>
      <c r="BV8" s="22"/>
      <c r="BW8" s="22"/>
      <c r="BX8" s="22"/>
      <c r="BY8" s="43" t="s">
        <v>313</v>
      </c>
      <c r="BZ8" s="43" t="s">
        <v>6170</v>
      </c>
      <c r="CA8" s="43" t="s">
        <v>6170</v>
      </c>
      <c r="CB8" s="43" t="s">
        <v>6202</v>
      </c>
      <c r="CC8" s="43" t="s">
        <v>6187</v>
      </c>
      <c r="CD8" s="43" t="s">
        <v>6195</v>
      </c>
      <c r="CE8" s="43"/>
      <c r="CF8" s="43"/>
    </row>
    <row r="9" spans="1:84" ht="18.600000000000001" customHeight="1" x14ac:dyDescent="0.25">
      <c r="A9" s="62" t="s">
        <v>2</v>
      </c>
      <c r="B9" s="2" t="s">
        <v>314</v>
      </c>
      <c r="C9" s="4" t="s">
        <v>4881</v>
      </c>
      <c r="D9" s="12" t="s">
        <v>3658</v>
      </c>
      <c r="E9" s="12" t="s">
        <v>3657</v>
      </c>
      <c r="F9" s="12" t="s">
        <v>4286</v>
      </c>
      <c r="G9" s="25">
        <v>78123</v>
      </c>
      <c r="H9" s="25">
        <v>44970</v>
      </c>
      <c r="I9" s="25">
        <v>10129</v>
      </c>
      <c r="J9" s="25">
        <v>20115</v>
      </c>
      <c r="K9" s="25">
        <v>107393</v>
      </c>
      <c r="L9" s="25">
        <v>283275</v>
      </c>
      <c r="M9" s="25">
        <v>390668</v>
      </c>
      <c r="N9" s="31">
        <v>0.27</v>
      </c>
      <c r="O9" s="25">
        <v>38588</v>
      </c>
      <c r="P9" s="25">
        <v>59924</v>
      </c>
      <c r="Q9" s="25">
        <v>2474</v>
      </c>
      <c r="R9" s="25">
        <v>123</v>
      </c>
      <c r="S9" s="25">
        <v>158</v>
      </c>
      <c r="T9" s="25">
        <v>78</v>
      </c>
      <c r="U9" s="61">
        <v>76</v>
      </c>
      <c r="V9" s="57">
        <v>7.3000000000000001E-3</v>
      </c>
      <c r="W9" s="55">
        <v>7.7999999999999996E-3</v>
      </c>
      <c r="X9" s="55">
        <v>3.5000000000000001E-3</v>
      </c>
      <c r="Y9" s="55">
        <v>1.1900000000000001E-2</v>
      </c>
      <c r="Z9" s="55">
        <v>0.02</v>
      </c>
      <c r="AA9" s="55">
        <v>2.5999999999999999E-3</v>
      </c>
      <c r="AB9" s="49">
        <v>361</v>
      </c>
      <c r="AC9" s="49">
        <v>193</v>
      </c>
      <c r="AD9" s="49">
        <v>58</v>
      </c>
      <c r="AE9" s="49">
        <v>4</v>
      </c>
      <c r="AF9" s="49">
        <v>31</v>
      </c>
      <c r="AG9" s="49">
        <v>35</v>
      </c>
      <c r="AH9" s="49">
        <v>40</v>
      </c>
      <c r="AI9" s="22">
        <v>0.82</v>
      </c>
      <c r="AJ9" s="49">
        <v>35133</v>
      </c>
      <c r="AK9" s="49">
        <v>9610</v>
      </c>
      <c r="AL9" s="55">
        <v>0.3765</v>
      </c>
      <c r="AM9" s="48" t="s">
        <v>4881</v>
      </c>
      <c r="AN9" s="22" t="s">
        <v>3657</v>
      </c>
      <c r="AO9" s="22" t="s">
        <v>3657</v>
      </c>
      <c r="AP9" s="22" t="str">
        <f>"1745484385736441"</f>
        <v>1745484385736441</v>
      </c>
      <c r="AQ9" s="22" t="s">
        <v>3658</v>
      </c>
      <c r="AR9" s="22" t="s">
        <v>3659</v>
      </c>
      <c r="AS9" s="22" t="s">
        <v>3660</v>
      </c>
      <c r="AT9" s="22"/>
      <c r="AU9" s="22" t="s">
        <v>324</v>
      </c>
      <c r="AV9" s="22" t="s">
        <v>5731</v>
      </c>
      <c r="AW9" s="22"/>
      <c r="AX9" s="22">
        <v>456</v>
      </c>
      <c r="AY9" s="22">
        <v>961</v>
      </c>
      <c r="AZ9" s="22">
        <v>456</v>
      </c>
      <c r="BA9" s="22" t="s">
        <v>3661</v>
      </c>
      <c r="BB9" s="22" t="s">
        <v>7071</v>
      </c>
      <c r="BC9" s="22" t="s">
        <v>7072</v>
      </c>
      <c r="BD9" s="22"/>
      <c r="BE9" s="22" t="s">
        <v>2291</v>
      </c>
      <c r="BF9" s="22"/>
      <c r="BG9" s="22"/>
      <c r="BH9" s="22"/>
      <c r="BI9" s="22" t="s">
        <v>3842</v>
      </c>
      <c r="BJ9" s="22"/>
      <c r="BK9" s="22"/>
      <c r="BL9" s="22" t="s">
        <v>2292</v>
      </c>
      <c r="BM9" s="22" t="s">
        <v>2292</v>
      </c>
      <c r="BN9" s="22" t="s">
        <v>2292</v>
      </c>
      <c r="BO9" s="22" t="s">
        <v>2292</v>
      </c>
      <c r="BP9" s="22"/>
      <c r="BQ9" s="22"/>
      <c r="BR9" s="22"/>
      <c r="BS9" s="22"/>
      <c r="BT9" s="22"/>
      <c r="BU9" s="22" t="s">
        <v>326</v>
      </c>
      <c r="BV9" s="22"/>
      <c r="BW9" s="22" t="s">
        <v>3662</v>
      </c>
      <c r="BX9" s="22"/>
      <c r="BY9" s="43" t="s">
        <v>313</v>
      </c>
      <c r="BZ9" s="43" t="s">
        <v>6174</v>
      </c>
      <c r="CA9" s="43" t="s">
        <v>6170</v>
      </c>
      <c r="CB9" s="43" t="s">
        <v>6202</v>
      </c>
      <c r="CC9" s="43" t="s">
        <v>6187</v>
      </c>
      <c r="CD9" s="43" t="s">
        <v>6195</v>
      </c>
      <c r="CE9" s="43"/>
      <c r="CF9" s="43"/>
    </row>
    <row r="10" spans="1:84" ht="18.600000000000001" customHeight="1" x14ac:dyDescent="0.25">
      <c r="A10" s="60" t="s">
        <v>2</v>
      </c>
      <c r="B10" s="2" t="s">
        <v>315</v>
      </c>
      <c r="C10" s="3" t="s">
        <v>5005</v>
      </c>
      <c r="D10" s="12" t="s">
        <v>5108</v>
      </c>
      <c r="E10" s="12" t="s">
        <v>3160</v>
      </c>
      <c r="F10" s="12" t="s">
        <v>5109</v>
      </c>
      <c r="G10" s="25">
        <v>36349</v>
      </c>
      <c r="H10" s="25">
        <v>16271</v>
      </c>
      <c r="I10" s="25">
        <v>4189</v>
      </c>
      <c r="J10" s="25">
        <v>15120</v>
      </c>
      <c r="K10" s="25">
        <v>38078</v>
      </c>
      <c r="L10" s="25">
        <v>98228</v>
      </c>
      <c r="M10" s="25">
        <v>136306</v>
      </c>
      <c r="N10" s="31">
        <v>0.28000000000000003</v>
      </c>
      <c r="O10" s="25">
        <v>5121</v>
      </c>
      <c r="P10" s="25">
        <v>27980</v>
      </c>
      <c r="Q10" s="25">
        <v>580</v>
      </c>
      <c r="R10" s="25">
        <v>40</v>
      </c>
      <c r="S10" s="25">
        <v>50</v>
      </c>
      <c r="T10" s="25">
        <v>52</v>
      </c>
      <c r="U10" s="61">
        <v>47</v>
      </c>
      <c r="V10" s="58">
        <v>8.8999999999999999E-3</v>
      </c>
      <c r="W10" s="33">
        <v>8.0999999999999996E-3</v>
      </c>
      <c r="X10" s="33">
        <v>3.2000000000000002E-3</v>
      </c>
      <c r="Y10" s="33">
        <v>7.1999999999999998E-3</v>
      </c>
      <c r="Z10" s="33">
        <v>2.0899999999999998E-2</v>
      </c>
      <c r="AA10" s="33">
        <v>1.9E-3</v>
      </c>
      <c r="AB10" s="25">
        <v>479</v>
      </c>
      <c r="AC10" s="25">
        <v>354</v>
      </c>
      <c r="AD10" s="25">
        <v>36</v>
      </c>
      <c r="AE10" s="25">
        <v>2</v>
      </c>
      <c r="AF10" s="25">
        <v>43</v>
      </c>
      <c r="AG10" s="25">
        <v>18</v>
      </c>
      <c r="AH10" s="25">
        <v>26</v>
      </c>
      <c r="AI10" s="12">
        <v>1.0900000000000001</v>
      </c>
      <c r="AJ10" s="25">
        <v>14309</v>
      </c>
      <c r="AK10" s="25">
        <v>0</v>
      </c>
      <c r="AL10" s="31">
        <v>0</v>
      </c>
      <c r="AM10" s="3" t="s">
        <v>5005</v>
      </c>
      <c r="AN10" s="12" t="s">
        <v>3160</v>
      </c>
      <c r="AO10" s="12" t="s">
        <v>3160</v>
      </c>
      <c r="AP10" s="12" t="str">
        <f>"1820941241473650"</f>
        <v>1820941241473650</v>
      </c>
      <c r="AQ10" s="12" t="s">
        <v>5108</v>
      </c>
      <c r="AR10" s="12" t="s">
        <v>5300</v>
      </c>
      <c r="AS10" s="12"/>
      <c r="AT10" s="12"/>
      <c r="AU10" s="12" t="s">
        <v>324</v>
      </c>
      <c r="AV10" s="12"/>
      <c r="AW10" s="12"/>
      <c r="AX10" s="12">
        <v>0</v>
      </c>
      <c r="AY10" s="12">
        <v>1238</v>
      </c>
      <c r="AZ10" s="12">
        <v>0</v>
      </c>
      <c r="BA10" s="12" t="s">
        <v>5301</v>
      </c>
      <c r="BB10" s="12"/>
      <c r="BC10" s="12" t="s">
        <v>6599</v>
      </c>
      <c r="BD10" s="12"/>
      <c r="BE10" s="12" t="s">
        <v>2291</v>
      </c>
      <c r="BF10" s="12"/>
      <c r="BG10" s="12"/>
      <c r="BH10" s="12"/>
      <c r="BI10" s="12" t="s">
        <v>5302</v>
      </c>
      <c r="BJ10" s="12"/>
      <c r="BK10" s="12"/>
      <c r="BL10" s="12" t="s">
        <v>2292</v>
      </c>
      <c r="BM10" s="12" t="s">
        <v>2292</v>
      </c>
      <c r="BN10" s="12" t="s">
        <v>2292</v>
      </c>
      <c r="BO10" s="12" t="s">
        <v>2292</v>
      </c>
      <c r="BP10" s="12"/>
      <c r="BQ10" s="12"/>
      <c r="BR10" s="12"/>
      <c r="BS10" s="12"/>
      <c r="BT10" s="12"/>
      <c r="BU10" s="12"/>
      <c r="BV10" s="12"/>
      <c r="BW10" s="12"/>
      <c r="BX10" s="12"/>
      <c r="BY10" s="13" t="s">
        <v>313</v>
      </c>
      <c r="BZ10" s="13" t="s">
        <v>6170</v>
      </c>
      <c r="CA10" s="13" t="s">
        <v>6170</v>
      </c>
      <c r="CB10" s="13" t="s">
        <v>312</v>
      </c>
      <c r="CC10" s="13"/>
      <c r="CD10" s="13" t="s">
        <v>6198</v>
      </c>
      <c r="CE10" s="13"/>
      <c r="CF10" s="13"/>
    </row>
    <row r="11" spans="1:84" ht="18.600000000000001" customHeight="1" x14ac:dyDescent="0.25">
      <c r="A11" s="62" t="s">
        <v>2</v>
      </c>
      <c r="B11" s="2" t="s">
        <v>3500</v>
      </c>
      <c r="C11" s="3" t="s">
        <v>3874</v>
      </c>
      <c r="D11" s="12" t="s">
        <v>3520</v>
      </c>
      <c r="E11" s="12" t="s">
        <v>3519</v>
      </c>
      <c r="F11" s="12" t="s">
        <v>3924</v>
      </c>
      <c r="G11" s="25">
        <v>6431</v>
      </c>
      <c r="H11" s="25">
        <v>5056</v>
      </c>
      <c r="I11" s="25">
        <v>528</v>
      </c>
      <c r="J11" s="25">
        <v>693</v>
      </c>
      <c r="K11" s="25">
        <v>4573</v>
      </c>
      <c r="L11" s="25">
        <v>4686</v>
      </c>
      <c r="M11" s="25">
        <v>9259</v>
      </c>
      <c r="N11" s="31">
        <v>0.49</v>
      </c>
      <c r="O11" s="25">
        <v>186</v>
      </c>
      <c r="P11" s="25">
        <v>6423</v>
      </c>
      <c r="Q11" s="25">
        <v>140</v>
      </c>
      <c r="R11" s="25">
        <v>3</v>
      </c>
      <c r="S11" s="25">
        <v>6</v>
      </c>
      <c r="T11" s="25">
        <v>2</v>
      </c>
      <c r="U11" s="61">
        <v>3</v>
      </c>
      <c r="V11" s="58">
        <v>3.8999999999999998E-3</v>
      </c>
      <c r="W11" s="33">
        <v>4.5999999999999999E-3</v>
      </c>
      <c r="X11" s="33">
        <v>2.0999999999999999E-3</v>
      </c>
      <c r="Y11" s="33">
        <v>3.2000000000000002E-3</v>
      </c>
      <c r="Z11" s="33">
        <v>3.8E-3</v>
      </c>
      <c r="AA11" s="33">
        <v>1.1000000000000001E-3</v>
      </c>
      <c r="AB11" s="25">
        <v>69</v>
      </c>
      <c r="AC11" s="25">
        <v>48</v>
      </c>
      <c r="AD11" s="25">
        <v>8</v>
      </c>
      <c r="AE11" s="25">
        <v>1</v>
      </c>
      <c r="AF11" s="25">
        <v>7</v>
      </c>
      <c r="AG11" s="25">
        <v>1</v>
      </c>
      <c r="AH11" s="25">
        <v>4</v>
      </c>
      <c r="AI11" s="12">
        <v>0.16</v>
      </c>
      <c r="AJ11" s="25">
        <v>24289</v>
      </c>
      <c r="AK11" s="25">
        <v>1766</v>
      </c>
      <c r="AL11" s="33">
        <v>7.8399999999999997E-2</v>
      </c>
      <c r="AM11" s="3" t="s">
        <v>3874</v>
      </c>
      <c r="AN11" s="12" t="s">
        <v>3519</v>
      </c>
      <c r="AO11" s="12" t="s">
        <v>3519</v>
      </c>
      <c r="AP11" s="12" t="str">
        <f>"725938450778870"</f>
        <v>725938450778870</v>
      </c>
      <c r="AQ11" s="12" t="s">
        <v>3520</v>
      </c>
      <c r="AR11" s="12" t="s">
        <v>3521</v>
      </c>
      <c r="AS11" s="12" t="s">
        <v>4976</v>
      </c>
      <c r="AT11" s="12" t="s">
        <v>3522</v>
      </c>
      <c r="AU11" s="12" t="s">
        <v>309</v>
      </c>
      <c r="AV11" s="12"/>
      <c r="AW11" s="12"/>
      <c r="AX11" s="12">
        <v>0</v>
      </c>
      <c r="AY11" s="12">
        <v>12</v>
      </c>
      <c r="AZ11" s="12">
        <v>0</v>
      </c>
      <c r="BA11" s="12" t="s">
        <v>3523</v>
      </c>
      <c r="BB11" s="12"/>
      <c r="BC11" s="12" t="s">
        <v>6256</v>
      </c>
      <c r="BD11" s="12"/>
      <c r="BE11" s="12" t="s">
        <v>2291</v>
      </c>
      <c r="BF11" s="12"/>
      <c r="BG11" s="12"/>
      <c r="BH11" s="12"/>
      <c r="BI11" s="12"/>
      <c r="BJ11" s="12"/>
      <c r="BK11" s="12"/>
      <c r="BL11" s="12" t="s">
        <v>2292</v>
      </c>
      <c r="BM11" s="12" t="s">
        <v>2292</v>
      </c>
      <c r="BN11" s="12" t="s">
        <v>2292</v>
      </c>
      <c r="BO11" s="12" t="s">
        <v>2292</v>
      </c>
      <c r="BP11" s="12"/>
      <c r="BQ11" s="12"/>
      <c r="BR11" s="12" t="s">
        <v>3524</v>
      </c>
      <c r="BS11" s="12"/>
      <c r="BT11" s="12"/>
      <c r="BU11" s="12"/>
      <c r="BV11" s="12"/>
      <c r="BW11" s="12"/>
      <c r="BX11" s="12"/>
      <c r="BY11" s="13" t="s">
        <v>313</v>
      </c>
      <c r="BZ11" s="13" t="s">
        <v>6170</v>
      </c>
      <c r="CA11" s="13" t="s">
        <v>6170</v>
      </c>
      <c r="CB11" s="13" t="s">
        <v>6202</v>
      </c>
      <c r="CC11" s="13" t="s">
        <v>6187</v>
      </c>
      <c r="CD11" s="13" t="s">
        <v>6195</v>
      </c>
      <c r="CE11" s="13"/>
      <c r="CF11" s="13"/>
    </row>
    <row r="12" spans="1:84" ht="18.600000000000001" customHeight="1" x14ac:dyDescent="0.25">
      <c r="A12" s="60" t="s">
        <v>2</v>
      </c>
      <c r="B12" s="2" t="s">
        <v>335</v>
      </c>
      <c r="C12" s="20" t="s">
        <v>5004</v>
      </c>
      <c r="D12" s="12" t="s">
        <v>5087</v>
      </c>
      <c r="E12" s="12" t="s">
        <v>5088</v>
      </c>
      <c r="F12" s="12" t="s">
        <v>5089</v>
      </c>
      <c r="G12" s="25">
        <v>5269</v>
      </c>
      <c r="H12" s="25">
        <v>3588</v>
      </c>
      <c r="I12" s="25">
        <v>136</v>
      </c>
      <c r="J12" s="25">
        <v>1459</v>
      </c>
      <c r="K12" s="25">
        <v>6582</v>
      </c>
      <c r="L12" s="25">
        <v>8635</v>
      </c>
      <c r="M12" s="25">
        <v>15217</v>
      </c>
      <c r="N12" s="31">
        <v>0.43</v>
      </c>
      <c r="O12" s="25">
        <v>1255</v>
      </c>
      <c r="P12" s="25">
        <v>439</v>
      </c>
      <c r="Q12" s="25">
        <v>84</v>
      </c>
      <c r="R12" s="25">
        <v>1</v>
      </c>
      <c r="S12" s="25">
        <v>1</v>
      </c>
      <c r="T12" s="25">
        <v>0</v>
      </c>
      <c r="U12" s="61">
        <v>0</v>
      </c>
      <c r="V12" s="58">
        <v>6.8999999999999999E-3</v>
      </c>
      <c r="W12" s="33">
        <v>8.6E-3</v>
      </c>
      <c r="X12" s="33">
        <v>3.8E-3</v>
      </c>
      <c r="Y12" s="33">
        <v>9.7999999999999997E-3</v>
      </c>
      <c r="Z12" s="33">
        <v>9.2999999999999992E-3</v>
      </c>
      <c r="AA12" s="33">
        <v>4.7999999999999996E-3</v>
      </c>
      <c r="AB12" s="25">
        <v>294</v>
      </c>
      <c r="AC12" s="25">
        <v>132</v>
      </c>
      <c r="AD12" s="25">
        <v>89</v>
      </c>
      <c r="AE12" s="25">
        <v>2</v>
      </c>
      <c r="AF12" s="25">
        <v>36</v>
      </c>
      <c r="AG12" s="25">
        <v>15</v>
      </c>
      <c r="AH12" s="25">
        <v>20</v>
      </c>
      <c r="AI12" s="12">
        <v>0.67</v>
      </c>
      <c r="AJ12" s="25">
        <v>3642</v>
      </c>
      <c r="AK12" s="25">
        <v>0</v>
      </c>
      <c r="AL12" s="31">
        <v>0</v>
      </c>
      <c r="AM12" s="20" t="s">
        <v>5004</v>
      </c>
      <c r="AN12" s="12" t="s">
        <v>5088</v>
      </c>
      <c r="AO12" s="12" t="s">
        <v>5088</v>
      </c>
      <c r="AP12" s="12" t="str">
        <f>"385479405148425"</f>
        <v>385479405148425</v>
      </c>
      <c r="AQ12" s="12" t="s">
        <v>5087</v>
      </c>
      <c r="AR12" s="12" t="s">
        <v>5235</v>
      </c>
      <c r="AS12" s="12" t="s">
        <v>5236</v>
      </c>
      <c r="AT12" s="12"/>
      <c r="AU12" s="12" t="s">
        <v>324</v>
      </c>
      <c r="AV12" s="12"/>
      <c r="AW12" s="12"/>
      <c r="AX12" s="12">
        <v>0</v>
      </c>
      <c r="AY12" s="12">
        <v>184</v>
      </c>
      <c r="AZ12" s="12">
        <v>0</v>
      </c>
      <c r="BA12" s="12" t="s">
        <v>5237</v>
      </c>
      <c r="BB12" s="12"/>
      <c r="BC12" s="12" t="s">
        <v>6340</v>
      </c>
      <c r="BD12" s="12"/>
      <c r="BE12" s="12" t="s">
        <v>2291</v>
      </c>
      <c r="BF12" s="12"/>
      <c r="BG12" s="12"/>
      <c r="BH12" s="12"/>
      <c r="BI12" s="12"/>
      <c r="BJ12" s="12"/>
      <c r="BK12" s="12"/>
      <c r="BL12" s="12" t="s">
        <v>2292</v>
      </c>
      <c r="BM12" s="12" t="s">
        <v>2292</v>
      </c>
      <c r="BN12" s="12" t="s">
        <v>2292</v>
      </c>
      <c r="BO12" s="12" t="s">
        <v>2292</v>
      </c>
      <c r="BP12" s="12" t="s">
        <v>5238</v>
      </c>
      <c r="BQ12" s="12"/>
      <c r="BR12" s="12"/>
      <c r="BS12" s="12"/>
      <c r="BT12" s="12"/>
      <c r="BU12" s="12"/>
      <c r="BV12" s="12"/>
      <c r="BW12" s="12"/>
      <c r="BX12" s="12"/>
      <c r="BY12" s="13" t="s">
        <v>313</v>
      </c>
      <c r="BZ12" s="13" t="s">
        <v>6170</v>
      </c>
      <c r="CA12" s="13" t="s">
        <v>6170</v>
      </c>
      <c r="CB12" s="13" t="s">
        <v>6199</v>
      </c>
      <c r="CC12" s="13" t="s">
        <v>6187</v>
      </c>
      <c r="CD12" s="13" t="s">
        <v>6195</v>
      </c>
      <c r="CE12" s="13"/>
      <c r="CF12" s="13"/>
    </row>
    <row r="13" spans="1:84" ht="18.600000000000001" customHeight="1" x14ac:dyDescent="0.25">
      <c r="A13" s="60" t="s">
        <v>3</v>
      </c>
      <c r="B13" s="2" t="s">
        <v>321</v>
      </c>
      <c r="C13" s="3" t="s">
        <v>2982</v>
      </c>
      <c r="D13" s="12" t="s">
        <v>316</v>
      </c>
      <c r="E13" s="12"/>
      <c r="F13" s="12" t="s">
        <v>4478</v>
      </c>
      <c r="G13" s="25">
        <v>27298</v>
      </c>
      <c r="H13" s="25">
        <v>18611</v>
      </c>
      <c r="I13" s="25">
        <v>2627</v>
      </c>
      <c r="J13" s="25">
        <v>2628</v>
      </c>
      <c r="K13" s="25">
        <v>0</v>
      </c>
      <c r="L13" s="25">
        <v>0</v>
      </c>
      <c r="M13" s="25">
        <v>0</v>
      </c>
      <c r="N13" s="31">
        <v>0</v>
      </c>
      <c r="O13" s="25">
        <v>0</v>
      </c>
      <c r="P13" s="25">
        <v>0</v>
      </c>
      <c r="Q13" s="25">
        <v>1312</v>
      </c>
      <c r="R13" s="25">
        <v>101</v>
      </c>
      <c r="S13" s="25">
        <v>1981</v>
      </c>
      <c r="T13" s="25">
        <v>29</v>
      </c>
      <c r="U13" s="61">
        <v>9</v>
      </c>
      <c r="V13" s="58">
        <v>2.6800000000000001E-2</v>
      </c>
      <c r="W13" s="12" t="s">
        <v>3926</v>
      </c>
      <c r="X13" s="33">
        <v>8.8999999999999999E-3</v>
      </c>
      <c r="Y13" s="33">
        <v>2.76E-2</v>
      </c>
      <c r="Z13" s="12" t="s">
        <v>3926</v>
      </c>
      <c r="AA13" s="12" t="s">
        <v>3926</v>
      </c>
      <c r="AB13" s="25">
        <v>13</v>
      </c>
      <c r="AC13" s="25">
        <v>0</v>
      </c>
      <c r="AD13" s="25">
        <v>1</v>
      </c>
      <c r="AE13" s="25">
        <v>12</v>
      </c>
      <c r="AF13" s="25">
        <v>0</v>
      </c>
      <c r="AG13" s="25">
        <v>0</v>
      </c>
      <c r="AH13" s="25">
        <v>0</v>
      </c>
      <c r="AI13" s="12">
        <v>0.03</v>
      </c>
      <c r="AJ13" s="25">
        <v>90078</v>
      </c>
      <c r="AK13" s="25">
        <v>18021</v>
      </c>
      <c r="AL13" s="33">
        <v>0.25009999999999999</v>
      </c>
      <c r="AM13" s="3" t="s">
        <v>2982</v>
      </c>
      <c r="AN13" s="12" t="s">
        <v>5455</v>
      </c>
      <c r="AO13" s="12"/>
      <c r="AP13" s="12" t="str">
        <f>"667630409972128"</f>
        <v>667630409972128</v>
      </c>
      <c r="AQ13" s="12" t="s">
        <v>316</v>
      </c>
      <c r="AR13" s="12" t="s">
        <v>317</v>
      </c>
      <c r="AS13" s="12" t="s">
        <v>318</v>
      </c>
      <c r="AT13" s="12" t="s">
        <v>2983</v>
      </c>
      <c r="AU13" s="12" t="s">
        <v>319</v>
      </c>
      <c r="AV13" s="12"/>
      <c r="AW13" s="12"/>
      <c r="AX13" s="12">
        <v>0</v>
      </c>
      <c r="AY13" s="12">
        <v>247</v>
      </c>
      <c r="AZ13" s="12">
        <v>0</v>
      </c>
      <c r="BA13" s="12" t="s">
        <v>320</v>
      </c>
      <c r="BB13" s="12"/>
      <c r="BC13" s="12" t="s">
        <v>7224</v>
      </c>
      <c r="BD13" s="12"/>
      <c r="BE13" s="12" t="s">
        <v>2291</v>
      </c>
      <c r="BF13" s="12"/>
      <c r="BG13" s="12"/>
      <c r="BH13" s="12"/>
      <c r="BI13" s="12"/>
      <c r="BJ13" s="12"/>
      <c r="BK13" s="12"/>
      <c r="BL13" s="12" t="s">
        <v>2292</v>
      </c>
      <c r="BM13" s="12" t="s">
        <v>2292</v>
      </c>
      <c r="BN13" s="12" t="s">
        <v>2292</v>
      </c>
      <c r="BO13" s="12" t="s">
        <v>2291</v>
      </c>
      <c r="BP13" s="12"/>
      <c r="BQ13" s="12"/>
      <c r="BR13" s="12"/>
      <c r="BS13" s="12"/>
      <c r="BT13" s="12"/>
      <c r="BU13" s="12"/>
      <c r="BV13" s="12"/>
      <c r="BW13" s="12"/>
      <c r="BX13" s="12"/>
      <c r="BY13" s="13" t="s">
        <v>313</v>
      </c>
      <c r="BZ13" s="13" t="s">
        <v>6170</v>
      </c>
      <c r="CA13" s="13" t="s">
        <v>6170</v>
      </c>
      <c r="CB13" s="13" t="s">
        <v>6197</v>
      </c>
      <c r="CC13" s="13"/>
      <c r="CD13" s="13" t="s">
        <v>6198</v>
      </c>
      <c r="CE13" s="13"/>
      <c r="CF13" s="13"/>
    </row>
    <row r="14" spans="1:84" ht="18.600000000000001" customHeight="1" x14ac:dyDescent="0.25">
      <c r="A14" s="60" t="s">
        <v>3</v>
      </c>
      <c r="B14" s="2" t="s">
        <v>314</v>
      </c>
      <c r="C14" s="3" t="s">
        <v>2823</v>
      </c>
      <c r="D14" s="12" t="s">
        <v>322</v>
      </c>
      <c r="E14" s="12"/>
      <c r="F14" s="12" t="s">
        <v>4483</v>
      </c>
      <c r="G14" s="25">
        <v>40944</v>
      </c>
      <c r="H14" s="25">
        <v>29176</v>
      </c>
      <c r="I14" s="25">
        <v>2447</v>
      </c>
      <c r="J14" s="25">
        <v>7212</v>
      </c>
      <c r="K14" s="25">
        <v>24089</v>
      </c>
      <c r="L14" s="25">
        <v>109655</v>
      </c>
      <c r="M14" s="25">
        <v>133744</v>
      </c>
      <c r="N14" s="31">
        <v>0.18</v>
      </c>
      <c r="O14" s="25">
        <v>4522</v>
      </c>
      <c r="P14" s="25">
        <v>0</v>
      </c>
      <c r="Q14" s="25">
        <v>1747</v>
      </c>
      <c r="R14" s="25">
        <v>300</v>
      </c>
      <c r="S14" s="25">
        <v>48</v>
      </c>
      <c r="T14" s="25">
        <v>11</v>
      </c>
      <c r="U14" s="61">
        <v>3</v>
      </c>
      <c r="V14" s="58">
        <v>3.8999999999999998E-3</v>
      </c>
      <c r="W14" s="33">
        <v>3.0999999999999999E-3</v>
      </c>
      <c r="X14" s="33">
        <v>1.1999999999999999E-3</v>
      </c>
      <c r="Y14" s="33">
        <v>4.4000000000000003E-3</v>
      </c>
      <c r="Z14" s="33">
        <v>7.85E-2</v>
      </c>
      <c r="AA14" s="33">
        <v>2.5000000000000001E-3</v>
      </c>
      <c r="AB14" s="25">
        <v>256</v>
      </c>
      <c r="AC14" s="25">
        <v>226</v>
      </c>
      <c r="AD14" s="25">
        <v>2</v>
      </c>
      <c r="AE14" s="25">
        <v>16</v>
      </c>
      <c r="AF14" s="25">
        <v>3</v>
      </c>
      <c r="AG14" s="25">
        <v>8</v>
      </c>
      <c r="AH14" s="25">
        <v>1</v>
      </c>
      <c r="AI14" s="12">
        <v>0.57999999999999996</v>
      </c>
      <c r="AJ14" s="25">
        <v>48859</v>
      </c>
      <c r="AK14" s="25">
        <v>17913</v>
      </c>
      <c r="AL14" s="33">
        <v>0.57879999999999998</v>
      </c>
      <c r="AM14" s="3" t="s">
        <v>2823</v>
      </c>
      <c r="AN14" s="12" t="s">
        <v>5396</v>
      </c>
      <c r="AO14" s="12"/>
      <c r="AP14" s="12" t="str">
        <f>"752312678198295"</f>
        <v>752312678198295</v>
      </c>
      <c r="AQ14" s="12" t="s">
        <v>322</v>
      </c>
      <c r="AR14" s="12" t="s">
        <v>323</v>
      </c>
      <c r="AS14" s="12" t="s">
        <v>2824</v>
      </c>
      <c r="AT14" s="12"/>
      <c r="AU14" s="12" t="s">
        <v>4806</v>
      </c>
      <c r="AV14" s="12" t="s">
        <v>6984</v>
      </c>
      <c r="AW14" s="12"/>
      <c r="AX14" s="12">
        <v>1451</v>
      </c>
      <c r="AY14" s="12">
        <v>685</v>
      </c>
      <c r="AZ14" s="12">
        <v>1451</v>
      </c>
      <c r="BA14" s="12" t="s">
        <v>325</v>
      </c>
      <c r="BB14" s="12" t="s">
        <v>6985</v>
      </c>
      <c r="BC14" s="12" t="s">
        <v>6986</v>
      </c>
      <c r="BD14" s="12"/>
      <c r="BE14" s="12" t="s">
        <v>2291</v>
      </c>
      <c r="BF14" s="12"/>
      <c r="BG14" s="12"/>
      <c r="BH14" s="12"/>
      <c r="BI14" s="12"/>
      <c r="BJ14" s="12"/>
      <c r="BK14" s="12"/>
      <c r="BL14" s="12" t="s">
        <v>2292</v>
      </c>
      <c r="BM14" s="12" t="s">
        <v>2292</v>
      </c>
      <c r="BN14" s="12" t="s">
        <v>2292</v>
      </c>
      <c r="BO14" s="12" t="s">
        <v>2292</v>
      </c>
      <c r="BP14" s="12" t="s">
        <v>2825</v>
      </c>
      <c r="BQ14" s="12"/>
      <c r="BR14" s="12"/>
      <c r="BS14" s="12"/>
      <c r="BT14" s="12">
        <v>2673953631</v>
      </c>
      <c r="BU14" s="12" t="s">
        <v>326</v>
      </c>
      <c r="BV14" s="12" t="s">
        <v>2826</v>
      </c>
      <c r="BW14" s="12" t="s">
        <v>5397</v>
      </c>
      <c r="BX14" s="12"/>
      <c r="BY14" s="13" t="s">
        <v>313</v>
      </c>
      <c r="BZ14" s="13" t="s">
        <v>6170</v>
      </c>
      <c r="CA14" s="13" t="s">
        <v>6170</v>
      </c>
      <c r="CB14" s="13" t="s">
        <v>312</v>
      </c>
      <c r="CC14" s="13"/>
      <c r="CD14" s="13" t="s">
        <v>6198</v>
      </c>
      <c r="CE14" s="13"/>
      <c r="CF14" s="13"/>
    </row>
    <row r="15" spans="1:84" ht="18.600000000000001" customHeight="1" x14ac:dyDescent="0.25">
      <c r="A15" s="60" t="s">
        <v>3</v>
      </c>
      <c r="B15" s="2" t="s">
        <v>315</v>
      </c>
      <c r="C15" s="3" t="s">
        <v>3897</v>
      </c>
      <c r="D15" s="12" t="s">
        <v>327</v>
      </c>
      <c r="E15" s="12" t="s">
        <v>5550</v>
      </c>
      <c r="F15" s="12" t="s">
        <v>3974</v>
      </c>
      <c r="G15" s="25">
        <v>3088865</v>
      </c>
      <c r="H15" s="25">
        <v>2226496</v>
      </c>
      <c r="I15" s="25">
        <v>384117</v>
      </c>
      <c r="J15" s="25">
        <v>320006</v>
      </c>
      <c r="K15" s="25">
        <v>1317730</v>
      </c>
      <c r="L15" s="25">
        <v>561210</v>
      </c>
      <c r="M15" s="25">
        <v>1878940</v>
      </c>
      <c r="N15" s="31">
        <v>0.7</v>
      </c>
      <c r="O15" s="25">
        <v>663112</v>
      </c>
      <c r="P15" s="25">
        <v>155870</v>
      </c>
      <c r="Q15" s="25">
        <v>86866</v>
      </c>
      <c r="R15" s="25">
        <v>21331</v>
      </c>
      <c r="S15" s="25">
        <v>14485</v>
      </c>
      <c r="T15" s="25">
        <v>31621</v>
      </c>
      <c r="U15" s="61">
        <v>3936</v>
      </c>
      <c r="V15" s="58">
        <v>6.9999999999999999E-4</v>
      </c>
      <c r="W15" s="33">
        <v>8.0000000000000004E-4</v>
      </c>
      <c r="X15" s="33">
        <v>4.0000000000000002E-4</v>
      </c>
      <c r="Y15" s="33">
        <v>5.0000000000000001E-4</v>
      </c>
      <c r="Z15" s="33">
        <v>1.4E-3</v>
      </c>
      <c r="AA15" s="33">
        <v>5.9999999999999995E-4</v>
      </c>
      <c r="AB15" s="25">
        <v>15251</v>
      </c>
      <c r="AC15" s="25">
        <v>8571</v>
      </c>
      <c r="AD15" s="25">
        <v>1381</v>
      </c>
      <c r="AE15" s="25">
        <v>4509</v>
      </c>
      <c r="AF15" s="25">
        <v>246</v>
      </c>
      <c r="AG15" s="25">
        <v>422</v>
      </c>
      <c r="AH15" s="25">
        <v>122</v>
      </c>
      <c r="AI15" s="12">
        <v>34.74</v>
      </c>
      <c r="AJ15" s="25">
        <v>351312</v>
      </c>
      <c r="AK15" s="25">
        <v>99043</v>
      </c>
      <c r="AL15" s="33">
        <v>0.3926</v>
      </c>
      <c r="AM15" s="3" t="s">
        <v>3897</v>
      </c>
      <c r="AN15" s="12" t="s">
        <v>3398</v>
      </c>
      <c r="AO15" s="12" t="s">
        <v>5550</v>
      </c>
      <c r="AP15" s="12" t="str">
        <f>"148228411926492"</f>
        <v>148228411926492</v>
      </c>
      <c r="AQ15" s="12" t="s">
        <v>327</v>
      </c>
      <c r="AR15" s="12" t="s">
        <v>4811</v>
      </c>
      <c r="AS15" s="12" t="s">
        <v>5751</v>
      </c>
      <c r="AT15" s="12"/>
      <c r="AU15" s="12" t="s">
        <v>5257</v>
      </c>
      <c r="AV15" s="12" t="s">
        <v>5764</v>
      </c>
      <c r="AW15" s="12">
        <v>1966</v>
      </c>
      <c r="AX15" s="12">
        <v>55</v>
      </c>
      <c r="AY15" s="12">
        <v>25793</v>
      </c>
      <c r="AZ15" s="12">
        <v>55</v>
      </c>
      <c r="BA15" s="12" t="s">
        <v>5560</v>
      </c>
      <c r="BB15" s="12" t="s">
        <v>6351</v>
      </c>
      <c r="BC15" s="12" t="s">
        <v>6352</v>
      </c>
      <c r="BD15" s="12"/>
      <c r="BE15" s="12" t="s">
        <v>2291</v>
      </c>
      <c r="BF15" s="12"/>
      <c r="BG15" s="12"/>
      <c r="BH15" s="12"/>
      <c r="BI15" s="12" t="s">
        <v>328</v>
      </c>
      <c r="BJ15" s="12" t="s">
        <v>329</v>
      </c>
      <c r="BK15" s="12"/>
      <c r="BL15" s="12" t="s">
        <v>2292</v>
      </c>
      <c r="BM15" s="12" t="s">
        <v>2292</v>
      </c>
      <c r="BN15" s="12" t="s">
        <v>2292</v>
      </c>
      <c r="BO15" s="12" t="s">
        <v>2291</v>
      </c>
      <c r="BP15" s="12" t="s">
        <v>2370</v>
      </c>
      <c r="BQ15" s="12"/>
      <c r="BR15" s="12"/>
      <c r="BS15" s="12"/>
      <c r="BT15" s="12" t="s">
        <v>3534</v>
      </c>
      <c r="BU15" s="12" t="s">
        <v>326</v>
      </c>
      <c r="BV15" s="12" t="s">
        <v>330</v>
      </c>
      <c r="BW15" s="12" t="s">
        <v>5240</v>
      </c>
      <c r="BX15" s="12"/>
      <c r="BY15" s="13" t="s">
        <v>313</v>
      </c>
      <c r="BZ15" s="13" t="s">
        <v>6173</v>
      </c>
      <c r="CA15" s="13" t="s">
        <v>6170</v>
      </c>
      <c r="CB15" s="13" t="s">
        <v>6202</v>
      </c>
      <c r="CC15" s="13"/>
      <c r="CD15" s="13" t="s">
        <v>6198</v>
      </c>
      <c r="CE15" s="13"/>
      <c r="CF15" s="13"/>
    </row>
    <row r="16" spans="1:84" ht="18.600000000000001" customHeight="1" x14ac:dyDescent="0.25">
      <c r="A16" s="60" t="s">
        <v>3</v>
      </c>
      <c r="B16" s="2" t="s">
        <v>4996</v>
      </c>
      <c r="C16" s="3" t="s">
        <v>4997</v>
      </c>
      <c r="D16" s="12" t="s">
        <v>5167</v>
      </c>
      <c r="E16" s="12" t="s">
        <v>5168</v>
      </c>
      <c r="F16" s="12" t="s">
        <v>5169</v>
      </c>
      <c r="G16" s="25">
        <v>0</v>
      </c>
      <c r="H16" s="25">
        <v>0</v>
      </c>
      <c r="I16" s="25">
        <v>0</v>
      </c>
      <c r="J16" s="25">
        <v>0</v>
      </c>
      <c r="K16" s="25">
        <v>0</v>
      </c>
      <c r="L16" s="25">
        <v>0</v>
      </c>
      <c r="M16" s="25">
        <v>0</v>
      </c>
      <c r="N16" s="31">
        <v>0</v>
      </c>
      <c r="O16" s="25">
        <v>0</v>
      </c>
      <c r="P16" s="25">
        <v>0</v>
      </c>
      <c r="Q16" s="25">
        <v>0</v>
      </c>
      <c r="R16" s="25">
        <v>0</v>
      </c>
      <c r="S16" s="25">
        <v>0</v>
      </c>
      <c r="T16" s="25">
        <v>0</v>
      </c>
      <c r="U16" s="61">
        <v>0</v>
      </c>
      <c r="V16" s="59"/>
      <c r="W16" s="12" t="s">
        <v>3926</v>
      </c>
      <c r="X16" s="12" t="s">
        <v>3926</v>
      </c>
      <c r="Y16" s="12" t="s">
        <v>3926</v>
      </c>
      <c r="Z16" s="12" t="s">
        <v>3926</v>
      </c>
      <c r="AA16" s="12" t="s">
        <v>3926</v>
      </c>
      <c r="AB16" s="25" t="s">
        <v>3927</v>
      </c>
      <c r="AC16" s="25">
        <v>0</v>
      </c>
      <c r="AD16" s="25">
        <v>0</v>
      </c>
      <c r="AE16" s="25">
        <v>0</v>
      </c>
      <c r="AF16" s="25">
        <v>0</v>
      </c>
      <c r="AG16" s="25">
        <v>0</v>
      </c>
      <c r="AH16" s="25">
        <v>0</v>
      </c>
      <c r="AI16" s="12">
        <v>0</v>
      </c>
      <c r="AJ16" s="25">
        <v>10706</v>
      </c>
      <c r="AK16" s="25">
        <v>0</v>
      </c>
      <c r="AL16" s="31">
        <v>0</v>
      </c>
      <c r="AM16" s="3" t="s">
        <v>4997</v>
      </c>
      <c r="AN16" s="12" t="s">
        <v>5168</v>
      </c>
      <c r="AO16" s="12" t="s">
        <v>5168</v>
      </c>
      <c r="AP16" s="12" t="str">
        <f>"375294415896762"</f>
        <v>375294415896762</v>
      </c>
      <c r="AQ16" s="12" t="s">
        <v>5167</v>
      </c>
      <c r="AR16" s="12"/>
      <c r="AS16" s="12" t="s">
        <v>5486</v>
      </c>
      <c r="AT16" s="12"/>
      <c r="AU16" s="12" t="s">
        <v>319</v>
      </c>
      <c r="AV16" s="12"/>
      <c r="AW16" s="12"/>
      <c r="AX16" s="12">
        <v>0</v>
      </c>
      <c r="AY16" s="12">
        <v>6</v>
      </c>
      <c r="AZ16" s="12">
        <v>0</v>
      </c>
      <c r="BA16" s="12" t="s">
        <v>5487</v>
      </c>
      <c r="BB16" s="12"/>
      <c r="BC16" s="12" t="s">
        <v>7376</v>
      </c>
      <c r="BD16" s="12" t="s">
        <v>5488</v>
      </c>
      <c r="BE16" s="12" t="s">
        <v>2291</v>
      </c>
      <c r="BF16" s="12"/>
      <c r="BG16" s="12"/>
      <c r="BH16" s="12"/>
      <c r="BI16" s="12"/>
      <c r="BJ16" s="12"/>
      <c r="BK16" s="12"/>
      <c r="BL16" s="12" t="s">
        <v>2292</v>
      </c>
      <c r="BM16" s="12" t="s">
        <v>2292</v>
      </c>
      <c r="BN16" s="12" t="s">
        <v>2292</v>
      </c>
      <c r="BO16" s="12" t="s">
        <v>2292</v>
      </c>
      <c r="BP16" s="12"/>
      <c r="BQ16" s="12"/>
      <c r="BR16" s="12" t="s">
        <v>5489</v>
      </c>
      <c r="BS16" s="12"/>
      <c r="BT16" s="12"/>
      <c r="BU16" s="12"/>
      <c r="BV16" s="12"/>
      <c r="BW16" s="12"/>
      <c r="BX16" s="12"/>
      <c r="BY16" s="2" t="s">
        <v>344</v>
      </c>
      <c r="BZ16" s="13" t="s">
        <v>6170</v>
      </c>
      <c r="CA16" s="13" t="s">
        <v>6170</v>
      </c>
      <c r="CB16" s="13" t="s">
        <v>312</v>
      </c>
      <c r="CC16" s="13"/>
      <c r="CD16" s="13" t="s">
        <v>6198</v>
      </c>
      <c r="CE16" s="13"/>
      <c r="CF16" s="13"/>
    </row>
    <row r="17" spans="1:84" ht="18.600000000000001" customHeight="1" x14ac:dyDescent="0.25">
      <c r="A17" s="60" t="s">
        <v>3</v>
      </c>
      <c r="B17" s="2" t="s">
        <v>335</v>
      </c>
      <c r="C17" s="3" t="s">
        <v>2752</v>
      </c>
      <c r="D17" s="12" t="s">
        <v>3791</v>
      </c>
      <c r="E17" s="12"/>
      <c r="F17" s="12" t="s">
        <v>4461</v>
      </c>
      <c r="G17" s="25">
        <v>5555</v>
      </c>
      <c r="H17" s="25">
        <v>2664</v>
      </c>
      <c r="I17" s="25">
        <v>432</v>
      </c>
      <c r="J17" s="25">
        <v>2257</v>
      </c>
      <c r="K17" s="25">
        <v>0</v>
      </c>
      <c r="L17" s="25">
        <v>0</v>
      </c>
      <c r="M17" s="25">
        <v>0</v>
      </c>
      <c r="N17" s="31">
        <v>0</v>
      </c>
      <c r="O17" s="25">
        <v>0</v>
      </c>
      <c r="P17" s="25">
        <v>0</v>
      </c>
      <c r="Q17" s="25">
        <v>155</v>
      </c>
      <c r="R17" s="25">
        <v>9</v>
      </c>
      <c r="S17" s="25">
        <v>3</v>
      </c>
      <c r="T17" s="25">
        <v>28</v>
      </c>
      <c r="U17" s="61">
        <v>7</v>
      </c>
      <c r="V17" s="58">
        <v>2.7000000000000001E-3</v>
      </c>
      <c r="W17" s="33">
        <v>3.0999999999999999E-3</v>
      </c>
      <c r="X17" s="33">
        <v>1.6000000000000001E-3</v>
      </c>
      <c r="Y17" s="33">
        <v>3.7000000000000002E-3</v>
      </c>
      <c r="Z17" s="12" t="s">
        <v>3926</v>
      </c>
      <c r="AA17" s="33">
        <v>6.9999999999999999E-4</v>
      </c>
      <c r="AB17" s="25">
        <v>173</v>
      </c>
      <c r="AC17" s="25">
        <v>94</v>
      </c>
      <c r="AD17" s="25">
        <v>64</v>
      </c>
      <c r="AE17" s="25">
        <v>14</v>
      </c>
      <c r="AF17" s="25">
        <v>0</v>
      </c>
      <c r="AG17" s="25">
        <v>0</v>
      </c>
      <c r="AH17" s="25">
        <v>1</v>
      </c>
      <c r="AI17" s="12">
        <v>0.39</v>
      </c>
      <c r="AJ17" s="25">
        <v>16010</v>
      </c>
      <c r="AK17" s="25">
        <v>6776</v>
      </c>
      <c r="AL17" s="33">
        <v>0.73380000000000001</v>
      </c>
      <c r="AM17" s="3" t="s">
        <v>2752</v>
      </c>
      <c r="AN17" s="12" t="s">
        <v>5380</v>
      </c>
      <c r="AO17" s="12"/>
      <c r="AP17" s="12" t="str">
        <f>"281137451918748"</f>
        <v>281137451918748</v>
      </c>
      <c r="AQ17" s="12" t="s">
        <v>3791</v>
      </c>
      <c r="AR17" s="12" t="s">
        <v>331</v>
      </c>
      <c r="AS17" s="12" t="s">
        <v>2753</v>
      </c>
      <c r="AT17" s="12"/>
      <c r="AU17" s="12" t="s">
        <v>332</v>
      </c>
      <c r="AV17" s="12"/>
      <c r="AW17" s="12" t="s">
        <v>2754</v>
      </c>
      <c r="AX17" s="12">
        <v>0</v>
      </c>
      <c r="AY17" s="12">
        <v>109</v>
      </c>
      <c r="AZ17" s="12">
        <v>0</v>
      </c>
      <c r="BA17" s="12" t="s">
        <v>3792</v>
      </c>
      <c r="BB17" s="12" t="s">
        <v>5912</v>
      </c>
      <c r="BC17" s="12" t="s">
        <v>6900</v>
      </c>
      <c r="BD17" s="12"/>
      <c r="BE17" s="12" t="s">
        <v>2291</v>
      </c>
      <c r="BF17" s="12"/>
      <c r="BG17" s="12"/>
      <c r="BH17" s="12"/>
      <c r="BI17" s="12" t="s">
        <v>2755</v>
      </c>
      <c r="BJ17" s="12" t="s">
        <v>3837</v>
      </c>
      <c r="BK17" s="12" t="s">
        <v>6901</v>
      </c>
      <c r="BL17" s="12" t="s">
        <v>2292</v>
      </c>
      <c r="BM17" s="12" t="s">
        <v>2292</v>
      </c>
      <c r="BN17" s="12" t="s">
        <v>2292</v>
      </c>
      <c r="BO17" s="12" t="s">
        <v>2292</v>
      </c>
      <c r="BP17" s="12" t="s">
        <v>333</v>
      </c>
      <c r="BQ17" s="12"/>
      <c r="BR17" s="12"/>
      <c r="BS17" s="12"/>
      <c r="BT17" s="12" t="s">
        <v>2756</v>
      </c>
      <c r="BU17" s="12"/>
      <c r="BV17" s="12"/>
      <c r="BW17" s="12" t="s">
        <v>334</v>
      </c>
      <c r="BX17" s="12"/>
      <c r="BY17" s="13" t="s">
        <v>313</v>
      </c>
      <c r="BZ17" s="13" t="s">
        <v>6170</v>
      </c>
      <c r="CA17" s="13" t="s">
        <v>6170</v>
      </c>
      <c r="CB17" s="13" t="s">
        <v>6201</v>
      </c>
      <c r="CC17" s="13"/>
      <c r="CD17" s="13" t="s">
        <v>6198</v>
      </c>
      <c r="CE17" s="13"/>
      <c r="CF17" s="13"/>
    </row>
    <row r="18" spans="1:84" ht="18.600000000000001" customHeight="1" x14ac:dyDescent="0.25">
      <c r="A18" s="60" t="s">
        <v>4</v>
      </c>
      <c r="B18" s="16" t="s">
        <v>3147</v>
      </c>
      <c r="C18" s="3" t="s">
        <v>3164</v>
      </c>
      <c r="D18" s="12" t="s">
        <v>3277</v>
      </c>
      <c r="E18" s="12" t="s">
        <v>3276</v>
      </c>
      <c r="F18" s="12" t="s">
        <v>4340</v>
      </c>
      <c r="G18" s="25">
        <v>0</v>
      </c>
      <c r="H18" s="25">
        <v>0</v>
      </c>
      <c r="I18" s="25">
        <v>0</v>
      </c>
      <c r="J18" s="25">
        <v>0</v>
      </c>
      <c r="K18" s="25">
        <v>0</v>
      </c>
      <c r="L18" s="25">
        <v>0</v>
      </c>
      <c r="M18" s="25">
        <v>0</v>
      </c>
      <c r="N18" s="31">
        <v>0</v>
      </c>
      <c r="O18" s="25">
        <v>0</v>
      </c>
      <c r="P18" s="25">
        <v>0</v>
      </c>
      <c r="Q18" s="25">
        <v>0</v>
      </c>
      <c r="R18" s="25">
        <v>0</v>
      </c>
      <c r="S18" s="25">
        <v>0</v>
      </c>
      <c r="T18" s="25">
        <v>0</v>
      </c>
      <c r="U18" s="61">
        <v>0</v>
      </c>
      <c r="V18" s="59"/>
      <c r="W18" s="12" t="s">
        <v>3926</v>
      </c>
      <c r="X18" s="12" t="s">
        <v>3926</v>
      </c>
      <c r="Y18" s="12" t="s">
        <v>3926</v>
      </c>
      <c r="Z18" s="12" t="s">
        <v>3926</v>
      </c>
      <c r="AA18" s="12" t="s">
        <v>3926</v>
      </c>
      <c r="AB18" s="25" t="s">
        <v>3927</v>
      </c>
      <c r="AC18" s="25">
        <v>0</v>
      </c>
      <c r="AD18" s="25">
        <v>0</v>
      </c>
      <c r="AE18" s="25">
        <v>0</v>
      </c>
      <c r="AF18" s="25">
        <v>0</v>
      </c>
      <c r="AG18" s="25">
        <v>0</v>
      </c>
      <c r="AH18" s="25">
        <v>0</v>
      </c>
      <c r="AI18" s="12">
        <v>0</v>
      </c>
      <c r="AJ18" s="25">
        <v>63275</v>
      </c>
      <c r="AK18" s="25">
        <v>-653</v>
      </c>
      <c r="AL18" s="33">
        <v>-1.0200000000000001E-2</v>
      </c>
      <c r="AM18" s="3" t="s">
        <v>3164</v>
      </c>
      <c r="AN18" s="12" t="s">
        <v>3276</v>
      </c>
      <c r="AO18" s="12" t="s">
        <v>3276</v>
      </c>
      <c r="AP18" s="12" t="str">
        <f>"674710549328565"</f>
        <v>674710549328565</v>
      </c>
      <c r="AQ18" s="12" t="s">
        <v>3277</v>
      </c>
      <c r="AR18" s="12" t="s">
        <v>3278</v>
      </c>
      <c r="AS18" s="12" t="s">
        <v>3279</v>
      </c>
      <c r="AT18" s="12"/>
      <c r="AU18" s="12" t="s">
        <v>309</v>
      </c>
      <c r="AV18" s="12"/>
      <c r="AW18" s="12"/>
      <c r="AX18" s="12">
        <v>0</v>
      </c>
      <c r="AY18" s="12">
        <v>29</v>
      </c>
      <c r="AZ18" s="12">
        <v>0</v>
      </c>
      <c r="BA18" s="12" t="s">
        <v>3280</v>
      </c>
      <c r="BB18" s="12" t="s">
        <v>6000</v>
      </c>
      <c r="BC18" s="12" t="s">
        <v>7197</v>
      </c>
      <c r="BD18" s="12"/>
      <c r="BE18" s="12" t="s">
        <v>2291</v>
      </c>
      <c r="BF18" s="12"/>
      <c r="BG18" s="12"/>
      <c r="BH18" s="12"/>
      <c r="BI18" s="12"/>
      <c r="BJ18" s="12"/>
      <c r="BK18" s="12"/>
      <c r="BL18" s="12" t="s">
        <v>2292</v>
      </c>
      <c r="BM18" s="12" t="s">
        <v>2292</v>
      </c>
      <c r="BN18" s="12" t="s">
        <v>2292</v>
      </c>
      <c r="BO18" s="12" t="s">
        <v>2292</v>
      </c>
      <c r="BP18" s="12"/>
      <c r="BQ18" s="12"/>
      <c r="BR18" s="12"/>
      <c r="BS18" s="12"/>
      <c r="BT18" s="12"/>
      <c r="BU18" s="12"/>
      <c r="BV18" s="12"/>
      <c r="BW18" s="12" t="s">
        <v>3281</v>
      </c>
      <c r="BX18" s="12"/>
      <c r="BY18" s="11" t="s">
        <v>3713</v>
      </c>
      <c r="BZ18" s="13" t="s">
        <v>6170</v>
      </c>
      <c r="CA18" s="13" t="s">
        <v>6170</v>
      </c>
      <c r="CB18" s="13" t="s">
        <v>312</v>
      </c>
      <c r="CC18" s="13"/>
      <c r="CD18" s="13" t="s">
        <v>6198</v>
      </c>
      <c r="CE18" s="13"/>
      <c r="CF18" s="13"/>
    </row>
    <row r="19" spans="1:84" ht="18.600000000000001" customHeight="1" x14ac:dyDescent="0.25">
      <c r="A19" s="35" t="s">
        <v>4</v>
      </c>
      <c r="B19" s="13" t="s">
        <v>314</v>
      </c>
      <c r="C19" s="3" t="s">
        <v>3906</v>
      </c>
      <c r="D19" s="12" t="s">
        <v>336</v>
      </c>
      <c r="E19" s="12" t="s">
        <v>3449</v>
      </c>
      <c r="F19" s="12" t="s">
        <v>4282</v>
      </c>
      <c r="G19" s="25">
        <v>444620</v>
      </c>
      <c r="H19" s="25">
        <v>327515</v>
      </c>
      <c r="I19" s="25">
        <v>16066</v>
      </c>
      <c r="J19" s="25">
        <v>94594</v>
      </c>
      <c r="K19" s="25">
        <v>36043</v>
      </c>
      <c r="L19" s="25">
        <v>21190</v>
      </c>
      <c r="M19" s="25">
        <v>57233</v>
      </c>
      <c r="N19" s="31">
        <v>0.63</v>
      </c>
      <c r="O19" s="25">
        <v>0</v>
      </c>
      <c r="P19" s="25">
        <v>0</v>
      </c>
      <c r="Q19" s="25">
        <v>3745</v>
      </c>
      <c r="R19" s="25">
        <v>218</v>
      </c>
      <c r="S19" s="25">
        <v>308</v>
      </c>
      <c r="T19" s="25">
        <v>1973</v>
      </c>
      <c r="U19" s="61">
        <v>197</v>
      </c>
      <c r="V19" s="58">
        <v>5.1999999999999998E-3</v>
      </c>
      <c r="W19" s="33">
        <v>5.4999999999999997E-3</v>
      </c>
      <c r="X19" s="33">
        <v>8.0000000000000004E-4</v>
      </c>
      <c r="Y19" s="33">
        <v>1.6000000000000001E-3</v>
      </c>
      <c r="Z19" s="33">
        <v>2.7000000000000001E-3</v>
      </c>
      <c r="AA19" s="33">
        <v>1.4E-3</v>
      </c>
      <c r="AB19" s="25">
        <v>796</v>
      </c>
      <c r="AC19" s="25">
        <v>748</v>
      </c>
      <c r="AD19" s="25">
        <v>1</v>
      </c>
      <c r="AE19" s="25">
        <v>26</v>
      </c>
      <c r="AF19" s="25">
        <v>11</v>
      </c>
      <c r="AG19" s="25">
        <v>0</v>
      </c>
      <c r="AH19" s="25">
        <v>10</v>
      </c>
      <c r="AI19" s="12">
        <v>1.81</v>
      </c>
      <c r="AJ19" s="25">
        <v>131858</v>
      </c>
      <c r="AK19" s="25">
        <v>53572</v>
      </c>
      <c r="AL19" s="33">
        <v>0.68430000000000002</v>
      </c>
      <c r="AM19" s="3" t="s">
        <v>3906</v>
      </c>
      <c r="AN19" s="12" t="s">
        <v>3449</v>
      </c>
      <c r="AO19" s="12" t="s">
        <v>3449</v>
      </c>
      <c r="AP19" s="12" t="str">
        <f>"338669069648703"</f>
        <v>338669069648703</v>
      </c>
      <c r="AQ19" s="12" t="s">
        <v>336</v>
      </c>
      <c r="AR19" s="12" t="s">
        <v>337</v>
      </c>
      <c r="AS19" s="12" t="s">
        <v>338</v>
      </c>
      <c r="AT19" s="12"/>
      <c r="AU19" s="12" t="s">
        <v>324</v>
      </c>
      <c r="AV19" s="12"/>
      <c r="AW19" s="12"/>
      <c r="AX19" s="12">
        <v>0</v>
      </c>
      <c r="AY19" s="12">
        <v>6658</v>
      </c>
      <c r="AZ19" s="12">
        <v>0</v>
      </c>
      <c r="BA19" s="12" t="s">
        <v>3450</v>
      </c>
      <c r="BB19" s="12"/>
      <c r="BC19" s="12" t="s">
        <v>7064</v>
      </c>
      <c r="BD19" s="12"/>
      <c r="BE19" s="12" t="s">
        <v>2291</v>
      </c>
      <c r="BF19" s="12"/>
      <c r="BG19" s="12"/>
      <c r="BH19" s="12"/>
      <c r="BI19" s="12"/>
      <c r="BJ19" s="12"/>
      <c r="BK19" s="12"/>
      <c r="BL19" s="12" t="s">
        <v>2292</v>
      </c>
      <c r="BM19" s="12" t="s">
        <v>2292</v>
      </c>
      <c r="BN19" s="12" t="s">
        <v>2292</v>
      </c>
      <c r="BO19" s="12" t="s">
        <v>2292</v>
      </c>
      <c r="BP19" s="12"/>
      <c r="BQ19" s="12"/>
      <c r="BR19" s="12"/>
      <c r="BS19" s="12"/>
      <c r="BT19" s="12">
        <v>22625498300</v>
      </c>
      <c r="BU19" s="12"/>
      <c r="BV19" s="12"/>
      <c r="BW19" s="12"/>
      <c r="BX19" s="12"/>
      <c r="BY19" s="13" t="s">
        <v>313</v>
      </c>
      <c r="BZ19" s="13" t="s">
        <v>6172</v>
      </c>
      <c r="CA19" s="13"/>
      <c r="CB19" s="13"/>
      <c r="CC19" s="13"/>
      <c r="CD19" s="13"/>
      <c r="CE19" s="13"/>
      <c r="CF19" s="13"/>
    </row>
    <row r="20" spans="1:84" ht="18.600000000000001" customHeight="1" x14ac:dyDescent="0.25">
      <c r="A20" s="35" t="s">
        <v>4</v>
      </c>
      <c r="B20" s="2" t="s">
        <v>4989</v>
      </c>
      <c r="C20" s="3" t="s">
        <v>4990</v>
      </c>
      <c r="D20" s="12" t="s">
        <v>5145</v>
      </c>
      <c r="E20" s="12" t="s">
        <v>5146</v>
      </c>
      <c r="F20" s="12" t="s">
        <v>5147</v>
      </c>
      <c r="G20" s="25">
        <v>27816</v>
      </c>
      <c r="H20" s="25">
        <v>20040</v>
      </c>
      <c r="I20" s="25">
        <v>3497</v>
      </c>
      <c r="J20" s="25">
        <v>3841</v>
      </c>
      <c r="K20" s="25">
        <v>0</v>
      </c>
      <c r="L20" s="25">
        <v>0</v>
      </c>
      <c r="M20" s="25">
        <v>0</v>
      </c>
      <c r="N20" s="31">
        <v>0</v>
      </c>
      <c r="O20" s="25">
        <v>0</v>
      </c>
      <c r="P20" s="25">
        <v>0</v>
      </c>
      <c r="Q20" s="25">
        <v>205</v>
      </c>
      <c r="R20" s="25">
        <v>10</v>
      </c>
      <c r="S20" s="25">
        <v>15</v>
      </c>
      <c r="T20" s="25">
        <v>202</v>
      </c>
      <c r="U20" s="61">
        <v>6</v>
      </c>
      <c r="V20" s="58">
        <v>1.67E-2</v>
      </c>
      <c r="W20" s="33">
        <v>1.7100000000000001E-2</v>
      </c>
      <c r="X20" s="12" t="s">
        <v>3926</v>
      </c>
      <c r="Y20" s="33">
        <v>8.6999999999999994E-3</v>
      </c>
      <c r="Z20" s="12" t="s">
        <v>3926</v>
      </c>
      <c r="AA20" s="12" t="s">
        <v>3926</v>
      </c>
      <c r="AB20" s="25">
        <v>76</v>
      </c>
      <c r="AC20" s="25">
        <v>74</v>
      </c>
      <c r="AD20" s="25">
        <v>0</v>
      </c>
      <c r="AE20" s="25">
        <v>2</v>
      </c>
      <c r="AF20" s="25">
        <v>0</v>
      </c>
      <c r="AG20" s="25">
        <v>0</v>
      </c>
      <c r="AH20" s="25">
        <v>0</v>
      </c>
      <c r="AI20" s="12">
        <v>0.17</v>
      </c>
      <c r="AJ20" s="25">
        <v>24172</v>
      </c>
      <c r="AK20" s="25">
        <v>0</v>
      </c>
      <c r="AL20" s="31">
        <v>0</v>
      </c>
      <c r="AM20" s="3" t="s">
        <v>4990</v>
      </c>
      <c r="AN20" s="12" t="s">
        <v>5146</v>
      </c>
      <c r="AO20" s="12" t="s">
        <v>5146</v>
      </c>
      <c r="AP20" s="12" t="str">
        <f>"1733492463558808"</f>
        <v>1733492463558808</v>
      </c>
      <c r="AQ20" s="12" t="s">
        <v>5145</v>
      </c>
      <c r="AR20" s="12" t="s">
        <v>5408</v>
      </c>
      <c r="AS20" s="12" t="s">
        <v>5409</v>
      </c>
      <c r="AT20" s="12"/>
      <c r="AU20" s="12" t="s">
        <v>309</v>
      </c>
      <c r="AV20" s="12"/>
      <c r="AW20" s="12"/>
      <c r="AX20" s="12">
        <v>0</v>
      </c>
      <c r="AY20" s="12">
        <v>147</v>
      </c>
      <c r="AZ20" s="12">
        <v>0</v>
      </c>
      <c r="BA20" s="12" t="s">
        <v>5410</v>
      </c>
      <c r="BB20" s="12" t="s">
        <v>5952</v>
      </c>
      <c r="BC20" s="12" t="s">
        <v>7017</v>
      </c>
      <c r="BD20" s="12"/>
      <c r="BE20" s="12" t="s">
        <v>2291</v>
      </c>
      <c r="BF20" s="12"/>
      <c r="BG20" s="12"/>
      <c r="BH20" s="12"/>
      <c r="BI20" s="12"/>
      <c r="BJ20" s="12"/>
      <c r="BK20" s="12"/>
      <c r="BL20" s="12" t="s">
        <v>2292</v>
      </c>
      <c r="BM20" s="12" t="s">
        <v>2292</v>
      </c>
      <c r="BN20" s="12" t="s">
        <v>2292</v>
      </c>
      <c r="BO20" s="12" t="s">
        <v>2292</v>
      </c>
      <c r="BP20" s="12"/>
      <c r="BQ20" s="12"/>
      <c r="BR20" s="12"/>
      <c r="BS20" s="12"/>
      <c r="BT20" s="12"/>
      <c r="BU20" s="12"/>
      <c r="BV20" s="12"/>
      <c r="BW20" s="12" t="s">
        <v>5411</v>
      </c>
      <c r="BX20" s="12"/>
      <c r="BY20" s="13" t="s">
        <v>313</v>
      </c>
      <c r="BZ20" s="13" t="s">
        <v>6170</v>
      </c>
      <c r="CA20" s="13" t="s">
        <v>6170</v>
      </c>
      <c r="CB20" s="13" t="s">
        <v>312</v>
      </c>
      <c r="CC20" s="13"/>
      <c r="CD20" s="13" t="s">
        <v>6198</v>
      </c>
      <c r="CE20" s="13"/>
      <c r="CF20" s="13"/>
    </row>
    <row r="21" spans="1:84" ht="18.600000000000001" customHeight="1" x14ac:dyDescent="0.25">
      <c r="A21" s="60" t="s">
        <v>4</v>
      </c>
      <c r="B21" s="2" t="s">
        <v>335</v>
      </c>
      <c r="C21" s="3" t="s">
        <v>4991</v>
      </c>
      <c r="D21" s="12" t="s">
        <v>5765</v>
      </c>
      <c r="E21" s="12" t="s">
        <v>5090</v>
      </c>
      <c r="F21" s="12" t="s">
        <v>5091</v>
      </c>
      <c r="G21" s="25">
        <v>16813</v>
      </c>
      <c r="H21" s="25">
        <v>11778</v>
      </c>
      <c r="I21" s="25">
        <v>1073</v>
      </c>
      <c r="J21" s="25">
        <v>3749</v>
      </c>
      <c r="K21" s="25">
        <v>3015</v>
      </c>
      <c r="L21" s="25">
        <v>3159</v>
      </c>
      <c r="M21" s="25">
        <v>6174</v>
      </c>
      <c r="N21" s="31">
        <v>0.49</v>
      </c>
      <c r="O21" s="25">
        <v>825</v>
      </c>
      <c r="P21" s="25">
        <v>0</v>
      </c>
      <c r="Q21" s="25">
        <v>122</v>
      </c>
      <c r="R21" s="25">
        <v>26</v>
      </c>
      <c r="S21" s="25">
        <v>11</v>
      </c>
      <c r="T21" s="25">
        <v>47</v>
      </c>
      <c r="U21" s="61">
        <v>7</v>
      </c>
      <c r="V21" s="58">
        <v>5.3E-3</v>
      </c>
      <c r="W21" s="33">
        <v>5.3E-3</v>
      </c>
      <c r="X21" s="33">
        <v>1.9E-3</v>
      </c>
      <c r="Y21" s="33">
        <v>5.3E-3</v>
      </c>
      <c r="Z21" s="33">
        <v>4.5999999999999999E-3</v>
      </c>
      <c r="AA21" s="33">
        <v>2.0999999999999999E-3</v>
      </c>
      <c r="AB21" s="25">
        <v>417</v>
      </c>
      <c r="AC21" s="25">
        <v>370</v>
      </c>
      <c r="AD21" s="25">
        <v>10</v>
      </c>
      <c r="AE21" s="25">
        <v>22</v>
      </c>
      <c r="AF21" s="25">
        <v>8</v>
      </c>
      <c r="AG21" s="25">
        <v>4</v>
      </c>
      <c r="AH21" s="25">
        <v>3</v>
      </c>
      <c r="AI21" s="12">
        <v>0.95</v>
      </c>
      <c r="AJ21" s="25">
        <v>9456</v>
      </c>
      <c r="AK21" s="25">
        <v>0</v>
      </c>
      <c r="AL21" s="31">
        <v>0</v>
      </c>
      <c r="AM21" s="3" t="s">
        <v>4991</v>
      </c>
      <c r="AN21" s="12" t="s">
        <v>5090</v>
      </c>
      <c r="AO21" s="12" t="s">
        <v>5090</v>
      </c>
      <c r="AP21" s="12" t="str">
        <f>"1431860663806114"</f>
        <v>1431860663806114</v>
      </c>
      <c r="AQ21" s="12" t="s">
        <v>5765</v>
      </c>
      <c r="AR21" s="12" t="s">
        <v>5241</v>
      </c>
      <c r="AS21" s="12" t="s">
        <v>5242</v>
      </c>
      <c r="AT21" s="12"/>
      <c r="AU21" s="12" t="s">
        <v>324</v>
      </c>
      <c r="AV21" s="12" t="s">
        <v>5731</v>
      </c>
      <c r="AW21" s="12"/>
      <c r="AX21" s="12">
        <v>178</v>
      </c>
      <c r="AY21" s="12">
        <v>657</v>
      </c>
      <c r="AZ21" s="12">
        <v>178</v>
      </c>
      <c r="BA21" s="12" t="s">
        <v>5243</v>
      </c>
      <c r="BB21" s="12" t="s">
        <v>6373</v>
      </c>
      <c r="BC21" s="12" t="s">
        <v>6374</v>
      </c>
      <c r="BD21" s="12"/>
      <c r="BE21" s="12" t="s">
        <v>2291</v>
      </c>
      <c r="BF21" s="12"/>
      <c r="BG21" s="12"/>
      <c r="BH21" s="12"/>
      <c r="BI21" s="12"/>
      <c r="BJ21" s="12"/>
      <c r="BK21" s="12" t="s">
        <v>6375</v>
      </c>
      <c r="BL21" s="12" t="s">
        <v>2292</v>
      </c>
      <c r="BM21" s="12" t="s">
        <v>2292</v>
      </c>
      <c r="BN21" s="12" t="s">
        <v>2292</v>
      </c>
      <c r="BO21" s="12" t="s">
        <v>2292</v>
      </c>
      <c r="BP21" s="12"/>
      <c r="BQ21" s="12"/>
      <c r="BR21" s="12"/>
      <c r="BS21" s="12"/>
      <c r="BT21" s="12" t="s">
        <v>5766</v>
      </c>
      <c r="BU21" s="12" t="s">
        <v>326</v>
      </c>
      <c r="BV21" s="12"/>
      <c r="BW21" s="12" t="s">
        <v>5561</v>
      </c>
      <c r="BX21" s="12"/>
      <c r="BY21" s="13" t="s">
        <v>313</v>
      </c>
      <c r="BZ21" s="13" t="s">
        <v>6172</v>
      </c>
      <c r="CA21" s="13" t="s">
        <v>6170</v>
      </c>
      <c r="CB21" s="13" t="s">
        <v>312</v>
      </c>
      <c r="CC21" s="13"/>
      <c r="CD21" s="13" t="s">
        <v>6198</v>
      </c>
      <c r="CE21" s="13"/>
      <c r="CF21" s="13"/>
    </row>
    <row r="22" spans="1:84" ht="18.600000000000001" customHeight="1" x14ac:dyDescent="0.25">
      <c r="A22" s="60" t="s">
        <v>5</v>
      </c>
      <c r="B22" s="2" t="s">
        <v>5506</v>
      </c>
      <c r="C22" s="3" t="s">
        <v>6221</v>
      </c>
      <c r="D22" s="12" t="s">
        <v>339</v>
      </c>
      <c r="E22" s="12" t="s">
        <v>7130</v>
      </c>
      <c r="F22" s="12" t="s">
        <v>7425</v>
      </c>
      <c r="G22" s="25">
        <v>4938</v>
      </c>
      <c r="H22" s="25">
        <v>3924</v>
      </c>
      <c r="I22" s="25">
        <v>604</v>
      </c>
      <c r="J22" s="25">
        <v>310</v>
      </c>
      <c r="K22" s="25">
        <v>0</v>
      </c>
      <c r="L22" s="25">
        <v>0</v>
      </c>
      <c r="M22" s="25">
        <v>0</v>
      </c>
      <c r="N22" s="31">
        <v>0</v>
      </c>
      <c r="O22" s="25">
        <v>0</v>
      </c>
      <c r="P22" s="25">
        <v>0</v>
      </c>
      <c r="Q22" s="25">
        <v>88</v>
      </c>
      <c r="R22" s="25">
        <v>6</v>
      </c>
      <c r="S22" s="25">
        <v>2</v>
      </c>
      <c r="T22" s="25">
        <v>1</v>
      </c>
      <c r="U22" s="61">
        <v>2</v>
      </c>
      <c r="V22" s="58">
        <v>7.4000000000000003E-3</v>
      </c>
      <c r="W22" s="33">
        <v>8.3999999999999995E-3</v>
      </c>
      <c r="X22" s="33">
        <v>6.7000000000000002E-3</v>
      </c>
      <c r="Y22" s="33">
        <v>6.7000000000000002E-3</v>
      </c>
      <c r="Z22" s="12" t="s">
        <v>3926</v>
      </c>
      <c r="AA22" s="33">
        <v>2.8E-3</v>
      </c>
      <c r="AB22" s="25">
        <v>16</v>
      </c>
      <c r="AC22" s="25">
        <v>10</v>
      </c>
      <c r="AD22" s="25">
        <v>1</v>
      </c>
      <c r="AE22" s="25">
        <v>4</v>
      </c>
      <c r="AF22" s="25">
        <v>0</v>
      </c>
      <c r="AG22" s="25">
        <v>0</v>
      </c>
      <c r="AH22" s="25">
        <v>1</v>
      </c>
      <c r="AI22" s="12">
        <v>0.04</v>
      </c>
      <c r="AJ22" s="25">
        <v>42276</v>
      </c>
      <c r="AK22" s="25">
        <v>1861</v>
      </c>
      <c r="AL22" s="33">
        <v>4.5999999999999999E-2</v>
      </c>
      <c r="AM22" s="3" t="s">
        <v>6221</v>
      </c>
      <c r="AN22" s="12" t="s">
        <v>7130</v>
      </c>
      <c r="AO22" s="12" t="s">
        <v>7130</v>
      </c>
      <c r="AP22" s="12" t="str">
        <f>"242369445939318"</f>
        <v>242369445939318</v>
      </c>
      <c r="AQ22" s="12" t="s">
        <v>339</v>
      </c>
      <c r="AR22" s="12" t="s">
        <v>342</v>
      </c>
      <c r="AS22" s="12" t="s">
        <v>7131</v>
      </c>
      <c r="AT22" s="12" t="s">
        <v>7132</v>
      </c>
      <c r="AU22" s="12" t="s">
        <v>309</v>
      </c>
      <c r="AV22" s="12"/>
      <c r="AW22" s="12"/>
      <c r="AX22" s="12">
        <v>0</v>
      </c>
      <c r="AY22" s="12">
        <v>75</v>
      </c>
      <c r="AZ22" s="12">
        <v>0</v>
      </c>
      <c r="BA22" s="12" t="s">
        <v>7133</v>
      </c>
      <c r="BB22" s="12" t="s">
        <v>7134</v>
      </c>
      <c r="BC22" s="12" t="s">
        <v>7135</v>
      </c>
      <c r="BD22" s="12" t="s">
        <v>7136</v>
      </c>
      <c r="BE22" s="12" t="s">
        <v>2291</v>
      </c>
      <c r="BF22" s="12"/>
      <c r="BG22" s="12"/>
      <c r="BH22" s="12"/>
      <c r="BI22" s="12" t="s">
        <v>7137</v>
      </c>
      <c r="BJ22" s="12"/>
      <c r="BK22" s="12"/>
      <c r="BL22" s="12" t="s">
        <v>2292</v>
      </c>
      <c r="BM22" s="12" t="s">
        <v>2292</v>
      </c>
      <c r="BN22" s="12" t="s">
        <v>2292</v>
      </c>
      <c r="BO22" s="12" t="s">
        <v>2292</v>
      </c>
      <c r="BP22" s="12"/>
      <c r="BQ22" s="12"/>
      <c r="BR22" s="12"/>
      <c r="BS22" s="12"/>
      <c r="BT22" s="12"/>
      <c r="BU22" s="12"/>
      <c r="BV22" s="12"/>
      <c r="BW22" s="12" t="s">
        <v>7138</v>
      </c>
      <c r="BX22" s="12"/>
      <c r="BY22" s="13"/>
      <c r="BZ22" s="13" t="s">
        <v>6172</v>
      </c>
      <c r="CA22" s="13"/>
      <c r="CB22" s="13"/>
      <c r="CC22" s="13"/>
      <c r="CD22" s="13"/>
      <c r="CE22" s="13"/>
      <c r="CF22" s="13"/>
    </row>
    <row r="23" spans="1:84" ht="18.600000000000001" customHeight="1" x14ac:dyDescent="0.25">
      <c r="A23" s="60" t="s">
        <v>5</v>
      </c>
      <c r="B23" s="2" t="s">
        <v>314</v>
      </c>
      <c r="C23" s="3" t="s">
        <v>2872</v>
      </c>
      <c r="D23" s="12" t="s">
        <v>341</v>
      </c>
      <c r="E23" s="12" t="s">
        <v>340</v>
      </c>
      <c r="F23" s="12" t="s">
        <v>4287</v>
      </c>
      <c r="G23" s="25">
        <v>1808</v>
      </c>
      <c r="H23" s="25">
        <v>1402</v>
      </c>
      <c r="I23" s="25">
        <v>66</v>
      </c>
      <c r="J23" s="25">
        <v>322</v>
      </c>
      <c r="K23" s="25">
        <v>0</v>
      </c>
      <c r="L23" s="25">
        <v>0</v>
      </c>
      <c r="M23" s="25">
        <v>0</v>
      </c>
      <c r="N23" s="31">
        <v>0</v>
      </c>
      <c r="O23" s="25">
        <v>0</v>
      </c>
      <c r="P23" s="25">
        <v>0</v>
      </c>
      <c r="Q23" s="25">
        <v>9</v>
      </c>
      <c r="R23" s="25">
        <v>2</v>
      </c>
      <c r="S23" s="25">
        <v>3</v>
      </c>
      <c r="T23" s="25">
        <v>3</v>
      </c>
      <c r="U23" s="61">
        <v>1</v>
      </c>
      <c r="V23" s="58">
        <v>3.8999999999999998E-3</v>
      </c>
      <c r="W23" s="33">
        <v>4.1000000000000003E-3</v>
      </c>
      <c r="X23" s="33">
        <v>1.2999999999999999E-3</v>
      </c>
      <c r="Y23" s="12" t="s">
        <v>3926</v>
      </c>
      <c r="Z23" s="12" t="s">
        <v>3926</v>
      </c>
      <c r="AA23" s="12" t="s">
        <v>3926</v>
      </c>
      <c r="AB23" s="25">
        <v>22</v>
      </c>
      <c r="AC23" s="25">
        <v>20</v>
      </c>
      <c r="AD23" s="25">
        <v>2</v>
      </c>
      <c r="AE23" s="25">
        <v>0</v>
      </c>
      <c r="AF23" s="25">
        <v>0</v>
      </c>
      <c r="AG23" s="25">
        <v>0</v>
      </c>
      <c r="AH23" s="25">
        <v>0</v>
      </c>
      <c r="AI23" s="12">
        <v>0.05</v>
      </c>
      <c r="AJ23" s="25">
        <v>21470</v>
      </c>
      <c r="AK23" s="25">
        <v>744</v>
      </c>
      <c r="AL23" s="33">
        <v>3.5900000000000001E-2</v>
      </c>
      <c r="AM23" s="3" t="s">
        <v>2872</v>
      </c>
      <c r="AN23" s="12" t="s">
        <v>340</v>
      </c>
      <c r="AO23" s="12" t="s">
        <v>340</v>
      </c>
      <c r="AP23" s="12" t="str">
        <f>"160157920795418"</f>
        <v>160157920795418</v>
      </c>
      <c r="AQ23" s="12" t="s">
        <v>341</v>
      </c>
      <c r="AR23" s="12" t="s">
        <v>342</v>
      </c>
      <c r="AS23" s="12" t="s">
        <v>2873</v>
      </c>
      <c r="AT23" s="12"/>
      <c r="AU23" s="12" t="s">
        <v>324</v>
      </c>
      <c r="AV23" s="12"/>
      <c r="AW23" s="12"/>
      <c r="AX23" s="12">
        <v>0</v>
      </c>
      <c r="AY23" s="12">
        <v>21</v>
      </c>
      <c r="AZ23" s="12">
        <v>0</v>
      </c>
      <c r="BA23" s="12" t="s">
        <v>343</v>
      </c>
      <c r="BB23" s="12"/>
      <c r="BC23" s="12" t="s">
        <v>7073</v>
      </c>
      <c r="BD23" s="12"/>
      <c r="BE23" s="12" t="s">
        <v>2291</v>
      </c>
      <c r="BF23" s="12"/>
      <c r="BG23" s="12"/>
      <c r="BH23" s="12"/>
      <c r="BI23" s="12"/>
      <c r="BJ23" s="12"/>
      <c r="BK23" s="12"/>
      <c r="BL23" s="12" t="s">
        <v>2292</v>
      </c>
      <c r="BM23" s="12" t="s">
        <v>2292</v>
      </c>
      <c r="BN23" s="12" t="s">
        <v>2292</v>
      </c>
      <c r="BO23" s="12" t="s">
        <v>2292</v>
      </c>
      <c r="BP23" s="12"/>
      <c r="BQ23" s="12"/>
      <c r="BR23" s="12"/>
      <c r="BS23" s="12"/>
      <c r="BT23" s="12">
        <v>25722226063</v>
      </c>
      <c r="BU23" s="12"/>
      <c r="BV23" s="12"/>
      <c r="BW23" s="12"/>
      <c r="BX23" s="12"/>
      <c r="BY23" s="13" t="s">
        <v>313</v>
      </c>
      <c r="BZ23" s="13" t="s">
        <v>312</v>
      </c>
      <c r="CA23" s="13"/>
      <c r="CB23" s="13"/>
      <c r="CC23" s="13"/>
      <c r="CD23" s="13"/>
      <c r="CE23" s="13"/>
      <c r="CF23" s="13"/>
    </row>
    <row r="24" spans="1:84" ht="18.600000000000001" customHeight="1" x14ac:dyDescent="0.25">
      <c r="A24" s="60" t="s">
        <v>5</v>
      </c>
      <c r="B24" s="2" t="s">
        <v>315</v>
      </c>
      <c r="C24" s="3" t="s">
        <v>3120</v>
      </c>
      <c r="D24" s="12" t="s">
        <v>345</v>
      </c>
      <c r="E24" s="12"/>
      <c r="F24" s="12" t="s">
        <v>4438</v>
      </c>
      <c r="G24" s="25">
        <v>0</v>
      </c>
      <c r="H24" s="25">
        <v>0</v>
      </c>
      <c r="I24" s="25">
        <v>0</v>
      </c>
      <c r="J24" s="25">
        <v>0</v>
      </c>
      <c r="K24" s="25">
        <v>0</v>
      </c>
      <c r="L24" s="25">
        <v>0</v>
      </c>
      <c r="M24" s="25">
        <v>0</v>
      </c>
      <c r="N24" s="31">
        <v>0</v>
      </c>
      <c r="O24" s="25">
        <v>0</v>
      </c>
      <c r="P24" s="25">
        <v>0</v>
      </c>
      <c r="Q24" s="25">
        <v>0</v>
      </c>
      <c r="R24" s="25">
        <v>0</v>
      </c>
      <c r="S24" s="25">
        <v>0</v>
      </c>
      <c r="T24" s="25">
        <v>0</v>
      </c>
      <c r="U24" s="61">
        <v>0</v>
      </c>
      <c r="V24" s="58">
        <v>0</v>
      </c>
      <c r="W24" s="12" t="s">
        <v>3926</v>
      </c>
      <c r="X24" s="33">
        <v>0</v>
      </c>
      <c r="Y24" s="12" t="s">
        <v>3926</v>
      </c>
      <c r="Z24" s="12" t="s">
        <v>3926</v>
      </c>
      <c r="AA24" s="12" t="s">
        <v>3926</v>
      </c>
      <c r="AB24" s="25">
        <v>1</v>
      </c>
      <c r="AC24" s="25">
        <v>0</v>
      </c>
      <c r="AD24" s="25">
        <v>1</v>
      </c>
      <c r="AE24" s="25">
        <v>0</v>
      </c>
      <c r="AF24" s="25">
        <v>0</v>
      </c>
      <c r="AG24" s="25">
        <v>0</v>
      </c>
      <c r="AH24" s="25">
        <v>0</v>
      </c>
      <c r="AI24" s="12">
        <v>0</v>
      </c>
      <c r="AJ24" s="25">
        <v>546</v>
      </c>
      <c r="AK24" s="25">
        <v>95</v>
      </c>
      <c r="AL24" s="33">
        <v>0.21060000000000001</v>
      </c>
      <c r="AM24" s="3" t="s">
        <v>3120</v>
      </c>
      <c r="AN24" s="12" t="s">
        <v>5304</v>
      </c>
      <c r="AO24" s="12"/>
      <c r="AP24" s="12" t="str">
        <f>"1006449296051502"</f>
        <v>1006449296051502</v>
      </c>
      <c r="AQ24" s="12" t="s">
        <v>345</v>
      </c>
      <c r="AR24" s="12" t="s">
        <v>346</v>
      </c>
      <c r="AS24" s="12" t="s">
        <v>347</v>
      </c>
      <c r="AT24" s="12"/>
      <c r="AU24" s="12" t="s">
        <v>309</v>
      </c>
      <c r="AV24" s="12"/>
      <c r="AW24" s="12"/>
      <c r="AX24" s="12">
        <v>0</v>
      </c>
      <c r="AY24" s="12">
        <v>0</v>
      </c>
      <c r="AZ24" s="12">
        <v>0</v>
      </c>
      <c r="BA24" s="12" t="s">
        <v>348</v>
      </c>
      <c r="BB24" s="12"/>
      <c r="BC24" s="12"/>
      <c r="BD24" s="12"/>
      <c r="BE24" s="12" t="s">
        <v>2291</v>
      </c>
      <c r="BF24" s="12"/>
      <c r="BG24" s="12"/>
      <c r="BH24" s="12"/>
      <c r="BI24" s="12"/>
      <c r="BJ24" s="12"/>
      <c r="BK24" s="12"/>
      <c r="BL24" s="12" t="s">
        <v>2292</v>
      </c>
      <c r="BM24" s="12" t="s">
        <v>2292</v>
      </c>
      <c r="BN24" s="12" t="s">
        <v>2292</v>
      </c>
      <c r="BO24" s="12" t="s">
        <v>2292</v>
      </c>
      <c r="BP24" s="12"/>
      <c r="BQ24" s="12"/>
      <c r="BR24" s="12"/>
      <c r="BS24" s="12"/>
      <c r="BT24" s="12"/>
      <c r="BU24" s="12"/>
      <c r="BV24" s="12"/>
      <c r="BW24" s="12"/>
      <c r="BX24" s="12"/>
      <c r="BY24" s="13" t="s">
        <v>313</v>
      </c>
      <c r="BZ24" s="13" t="s">
        <v>6170</v>
      </c>
      <c r="CA24" s="13" t="s">
        <v>6170</v>
      </c>
      <c r="CB24" s="13" t="s">
        <v>312</v>
      </c>
      <c r="CC24" s="13"/>
      <c r="CD24" s="13" t="s">
        <v>6198</v>
      </c>
      <c r="CE24" s="13" t="s">
        <v>6184</v>
      </c>
      <c r="CF24" s="13"/>
    </row>
    <row r="25" spans="1:84" ht="18.600000000000001" customHeight="1" x14ac:dyDescent="0.25">
      <c r="A25" s="60" t="s">
        <v>6</v>
      </c>
      <c r="B25" s="2" t="s">
        <v>349</v>
      </c>
      <c r="C25" s="3" t="s">
        <v>2844</v>
      </c>
      <c r="D25" s="12" t="s">
        <v>349</v>
      </c>
      <c r="E25" s="12" t="s">
        <v>350</v>
      </c>
      <c r="F25" s="12" t="s">
        <v>4262</v>
      </c>
      <c r="G25" s="25">
        <v>698313</v>
      </c>
      <c r="H25" s="25">
        <v>559654</v>
      </c>
      <c r="I25" s="25">
        <v>56172</v>
      </c>
      <c r="J25" s="25">
        <v>64384</v>
      </c>
      <c r="K25" s="25">
        <v>516471</v>
      </c>
      <c r="L25" s="25">
        <v>91222</v>
      </c>
      <c r="M25" s="25">
        <v>607693</v>
      </c>
      <c r="N25" s="31">
        <v>0.85</v>
      </c>
      <c r="O25" s="25">
        <v>0</v>
      </c>
      <c r="P25" s="25">
        <v>0</v>
      </c>
      <c r="Q25" s="25">
        <v>9829</v>
      </c>
      <c r="R25" s="25">
        <v>1076</v>
      </c>
      <c r="S25" s="25">
        <v>3915</v>
      </c>
      <c r="T25" s="25">
        <v>1522</v>
      </c>
      <c r="U25" s="61">
        <v>1759</v>
      </c>
      <c r="V25" s="58">
        <v>1.1000000000000001E-3</v>
      </c>
      <c r="W25" s="33">
        <v>1.6999999999999999E-3</v>
      </c>
      <c r="X25" s="33">
        <v>8.0000000000000004E-4</v>
      </c>
      <c r="Y25" s="33">
        <v>5.9999999999999995E-4</v>
      </c>
      <c r="Z25" s="33">
        <v>1.17E-2</v>
      </c>
      <c r="AA25" s="12" t="s">
        <v>3926</v>
      </c>
      <c r="AB25" s="25">
        <v>976</v>
      </c>
      <c r="AC25" s="25">
        <v>241</v>
      </c>
      <c r="AD25" s="25">
        <v>642</v>
      </c>
      <c r="AE25" s="25">
        <v>88</v>
      </c>
      <c r="AF25" s="25">
        <v>5</v>
      </c>
      <c r="AG25" s="25">
        <v>0</v>
      </c>
      <c r="AH25" s="25">
        <v>0</v>
      </c>
      <c r="AI25" s="12">
        <v>2.2200000000000002</v>
      </c>
      <c r="AJ25" s="25">
        <v>834660</v>
      </c>
      <c r="AK25" s="25">
        <v>329760</v>
      </c>
      <c r="AL25" s="33">
        <v>0.65310000000000001</v>
      </c>
      <c r="AM25" s="3" t="s">
        <v>2844</v>
      </c>
      <c r="AN25" s="12" t="s">
        <v>350</v>
      </c>
      <c r="AO25" s="12" t="s">
        <v>350</v>
      </c>
      <c r="AP25" s="12" t="str">
        <f>"168259563205292"</f>
        <v>168259563205292</v>
      </c>
      <c r="AQ25" s="12" t="s">
        <v>349</v>
      </c>
      <c r="AR25" s="12" t="s">
        <v>3236</v>
      </c>
      <c r="AS25" s="12" t="s">
        <v>3443</v>
      </c>
      <c r="AT25" s="12" t="s">
        <v>2845</v>
      </c>
      <c r="AU25" s="12" t="s">
        <v>309</v>
      </c>
      <c r="AV25" s="12"/>
      <c r="AW25" s="12"/>
      <c r="AX25" s="12">
        <v>0</v>
      </c>
      <c r="AY25" s="12">
        <v>11659</v>
      </c>
      <c r="AZ25" s="12">
        <v>0</v>
      </c>
      <c r="BA25" s="12" t="s">
        <v>351</v>
      </c>
      <c r="BB25" s="12" t="s">
        <v>5951</v>
      </c>
      <c r="BC25" s="12" t="s">
        <v>7016</v>
      </c>
      <c r="BD25" s="12"/>
      <c r="BE25" s="12" t="s">
        <v>2291</v>
      </c>
      <c r="BF25" s="12"/>
      <c r="BG25" s="12"/>
      <c r="BH25" s="12"/>
      <c r="BI25" s="12"/>
      <c r="BJ25" s="12"/>
      <c r="BK25" s="12"/>
      <c r="BL25" s="12" t="s">
        <v>2292</v>
      </c>
      <c r="BM25" s="12" t="s">
        <v>2292</v>
      </c>
      <c r="BN25" s="12" t="s">
        <v>2292</v>
      </c>
      <c r="BO25" s="12" t="s">
        <v>2292</v>
      </c>
      <c r="BP25" s="12"/>
      <c r="BQ25" s="12"/>
      <c r="BR25" s="12" t="s">
        <v>3444</v>
      </c>
      <c r="BS25" s="12"/>
      <c r="BT25" s="12"/>
      <c r="BU25" s="12"/>
      <c r="BV25" s="12"/>
      <c r="BW25" s="12" t="s">
        <v>352</v>
      </c>
      <c r="BX25" s="12"/>
      <c r="BY25" s="13" t="s">
        <v>313</v>
      </c>
      <c r="BZ25" s="13" t="s">
        <v>6174</v>
      </c>
      <c r="CA25" s="13"/>
      <c r="CB25" s="13"/>
      <c r="CC25" s="13"/>
      <c r="CD25" s="13"/>
      <c r="CE25" s="13"/>
      <c r="CF25" s="13"/>
    </row>
    <row r="26" spans="1:84" ht="18.600000000000001" customHeight="1" x14ac:dyDescent="0.25">
      <c r="A26" s="60" t="s">
        <v>6</v>
      </c>
      <c r="B26" s="2" t="s">
        <v>314</v>
      </c>
      <c r="C26" s="3" t="s">
        <v>3499</v>
      </c>
      <c r="D26" s="12" t="s">
        <v>3653</v>
      </c>
      <c r="E26" s="12" t="s">
        <v>3652</v>
      </c>
      <c r="F26" s="12" t="s">
        <v>4278</v>
      </c>
      <c r="G26" s="25">
        <v>5734</v>
      </c>
      <c r="H26" s="25">
        <v>4588</v>
      </c>
      <c r="I26" s="25">
        <v>459</v>
      </c>
      <c r="J26" s="25">
        <v>479</v>
      </c>
      <c r="K26" s="25">
        <v>0</v>
      </c>
      <c r="L26" s="25">
        <v>0</v>
      </c>
      <c r="M26" s="25">
        <v>0</v>
      </c>
      <c r="N26" s="31">
        <v>0</v>
      </c>
      <c r="O26" s="25">
        <v>0</v>
      </c>
      <c r="P26" s="25">
        <v>0</v>
      </c>
      <c r="Q26" s="25">
        <v>187</v>
      </c>
      <c r="R26" s="25">
        <v>9</v>
      </c>
      <c r="S26" s="25">
        <v>7</v>
      </c>
      <c r="T26" s="25">
        <v>5</v>
      </c>
      <c r="U26" s="61">
        <v>0</v>
      </c>
      <c r="V26" s="58">
        <v>5.3E-3</v>
      </c>
      <c r="W26" s="33">
        <v>5.7000000000000002E-3</v>
      </c>
      <c r="X26" s="33">
        <v>3.7000000000000002E-3</v>
      </c>
      <c r="Y26" s="33">
        <v>2.7400000000000001E-2</v>
      </c>
      <c r="Z26" s="12" t="s">
        <v>3926</v>
      </c>
      <c r="AA26" s="33">
        <v>6.3E-3</v>
      </c>
      <c r="AB26" s="25">
        <v>360</v>
      </c>
      <c r="AC26" s="25">
        <v>248</v>
      </c>
      <c r="AD26" s="25">
        <v>108</v>
      </c>
      <c r="AE26" s="25">
        <v>2</v>
      </c>
      <c r="AF26" s="25">
        <v>0</v>
      </c>
      <c r="AG26" s="25">
        <v>0</v>
      </c>
      <c r="AH26" s="25">
        <v>2</v>
      </c>
      <c r="AI26" s="12">
        <v>0.82</v>
      </c>
      <c r="AJ26" s="25">
        <v>3949</v>
      </c>
      <c r="AK26" s="25">
        <v>1904</v>
      </c>
      <c r="AL26" s="33">
        <v>0.93110000000000004</v>
      </c>
      <c r="AM26" s="3" t="s">
        <v>3499</v>
      </c>
      <c r="AN26" s="12" t="s">
        <v>3652</v>
      </c>
      <c r="AO26" s="12" t="s">
        <v>3652</v>
      </c>
      <c r="AP26" s="12" t="str">
        <f>"259471017731773"</f>
        <v>259471017731773</v>
      </c>
      <c r="AQ26" s="12" t="s">
        <v>3653</v>
      </c>
      <c r="AR26" s="12" t="s">
        <v>3236</v>
      </c>
      <c r="AS26" s="12"/>
      <c r="AT26" s="12"/>
      <c r="AU26" s="12" t="s">
        <v>324</v>
      </c>
      <c r="AV26" s="12" t="s">
        <v>5731</v>
      </c>
      <c r="AW26" s="12"/>
      <c r="AX26" s="12">
        <v>58</v>
      </c>
      <c r="AY26" s="12">
        <v>385</v>
      </c>
      <c r="AZ26" s="12">
        <v>58</v>
      </c>
      <c r="BA26" s="12" t="s">
        <v>3654</v>
      </c>
      <c r="BB26" s="12" t="s">
        <v>7057</v>
      </c>
      <c r="BC26" s="12" t="s">
        <v>7058</v>
      </c>
      <c r="BD26" s="12"/>
      <c r="BE26" s="12" t="s">
        <v>2291</v>
      </c>
      <c r="BF26" s="12"/>
      <c r="BG26" s="12"/>
      <c r="BH26" s="12"/>
      <c r="BI26" s="12"/>
      <c r="BJ26" s="12"/>
      <c r="BK26" s="12"/>
      <c r="BL26" s="12" t="s">
        <v>2292</v>
      </c>
      <c r="BM26" s="12" t="s">
        <v>2292</v>
      </c>
      <c r="BN26" s="12" t="s">
        <v>2292</v>
      </c>
      <c r="BO26" s="12" t="s">
        <v>2292</v>
      </c>
      <c r="BP26" s="12"/>
      <c r="BQ26" s="12"/>
      <c r="BR26" s="12"/>
      <c r="BS26" s="12"/>
      <c r="BT26" s="12" t="s">
        <v>3655</v>
      </c>
      <c r="BU26" s="12" t="s">
        <v>326</v>
      </c>
      <c r="BV26" s="12"/>
      <c r="BW26" s="12" t="s">
        <v>3656</v>
      </c>
      <c r="BX26" s="12"/>
      <c r="BY26" s="13" t="s">
        <v>313</v>
      </c>
      <c r="BZ26" s="13" t="s">
        <v>6170</v>
      </c>
      <c r="CA26" s="13" t="s">
        <v>6170</v>
      </c>
      <c r="CB26" s="13" t="s">
        <v>312</v>
      </c>
      <c r="CC26" s="13"/>
      <c r="CD26" s="13" t="s">
        <v>6198</v>
      </c>
      <c r="CE26" s="13"/>
      <c r="CF26" s="13"/>
    </row>
    <row r="27" spans="1:84" ht="18.600000000000001" customHeight="1" x14ac:dyDescent="0.25">
      <c r="A27" s="60" t="s">
        <v>7</v>
      </c>
      <c r="B27" s="2" t="s">
        <v>2284</v>
      </c>
      <c r="C27" s="4" t="s">
        <v>3872</v>
      </c>
      <c r="D27" s="12" t="s">
        <v>353</v>
      </c>
      <c r="E27" s="12"/>
      <c r="F27" s="12" t="s">
        <v>4458</v>
      </c>
      <c r="G27" s="25">
        <v>24</v>
      </c>
      <c r="H27" s="25">
        <v>14</v>
      </c>
      <c r="I27" s="25">
        <v>6</v>
      </c>
      <c r="J27" s="25">
        <v>4</v>
      </c>
      <c r="K27" s="25">
        <v>0</v>
      </c>
      <c r="L27" s="25">
        <v>0</v>
      </c>
      <c r="M27" s="25">
        <v>0</v>
      </c>
      <c r="N27" s="31">
        <v>0</v>
      </c>
      <c r="O27" s="25">
        <v>0</v>
      </c>
      <c r="P27" s="25">
        <v>0</v>
      </c>
      <c r="Q27" s="25">
        <v>0</v>
      </c>
      <c r="R27" s="25">
        <v>0</v>
      </c>
      <c r="S27" s="25">
        <v>0</v>
      </c>
      <c r="T27" s="25">
        <v>0</v>
      </c>
      <c r="U27" s="61">
        <v>0</v>
      </c>
      <c r="V27" s="58">
        <v>1.1599999999999999E-2</v>
      </c>
      <c r="W27" s="12" t="s">
        <v>3926</v>
      </c>
      <c r="X27" s="12" t="s">
        <v>3926</v>
      </c>
      <c r="Y27" s="33">
        <v>1.21E-2</v>
      </c>
      <c r="Z27" s="12" t="s">
        <v>3926</v>
      </c>
      <c r="AA27" s="12" t="s">
        <v>3926</v>
      </c>
      <c r="AB27" s="25">
        <v>1</v>
      </c>
      <c r="AC27" s="25">
        <v>0</v>
      </c>
      <c r="AD27" s="25">
        <v>0</v>
      </c>
      <c r="AE27" s="25">
        <v>1</v>
      </c>
      <c r="AF27" s="25">
        <v>0</v>
      </c>
      <c r="AG27" s="25">
        <v>0</v>
      </c>
      <c r="AH27" s="25">
        <v>0</v>
      </c>
      <c r="AI27" s="12">
        <v>0</v>
      </c>
      <c r="AJ27" s="25">
        <v>2168</v>
      </c>
      <c r="AK27" s="25">
        <v>256</v>
      </c>
      <c r="AL27" s="33">
        <v>0.13389999999999999</v>
      </c>
      <c r="AM27" s="4" t="s">
        <v>3872</v>
      </c>
      <c r="AN27" s="12" t="s">
        <v>5321</v>
      </c>
      <c r="AO27" s="12"/>
      <c r="AP27" s="12" t="str">
        <f>"234404863297613"</f>
        <v>234404863297613</v>
      </c>
      <c r="AQ27" s="12" t="s">
        <v>353</v>
      </c>
      <c r="AR27" s="12" t="s">
        <v>4575</v>
      </c>
      <c r="AS27" s="12" t="s">
        <v>4576</v>
      </c>
      <c r="AT27" s="12"/>
      <c r="AU27" s="12" t="s">
        <v>309</v>
      </c>
      <c r="AV27" s="12"/>
      <c r="AW27" s="12"/>
      <c r="AX27" s="12">
        <v>0</v>
      </c>
      <c r="AY27" s="12">
        <v>6</v>
      </c>
      <c r="AZ27" s="12">
        <v>0</v>
      </c>
      <c r="BA27" s="12" t="s">
        <v>4577</v>
      </c>
      <c r="BB27" s="12" t="s">
        <v>5867</v>
      </c>
      <c r="BC27" s="12"/>
      <c r="BD27" s="12"/>
      <c r="BE27" s="12" t="s">
        <v>2291</v>
      </c>
      <c r="BF27" s="12"/>
      <c r="BG27" s="12"/>
      <c r="BH27" s="12"/>
      <c r="BI27" s="12"/>
      <c r="BJ27" s="12"/>
      <c r="BK27" s="12"/>
      <c r="BL27" s="12" t="s">
        <v>2292</v>
      </c>
      <c r="BM27" s="12" t="s">
        <v>2292</v>
      </c>
      <c r="BN27" s="12" t="s">
        <v>2292</v>
      </c>
      <c r="BO27" s="12" t="s">
        <v>2292</v>
      </c>
      <c r="BP27" s="12"/>
      <c r="BQ27" s="12"/>
      <c r="BR27" s="12"/>
      <c r="BS27" s="12"/>
      <c r="BT27" s="12"/>
      <c r="BU27" s="12"/>
      <c r="BV27" s="12"/>
      <c r="BW27" s="12" t="s">
        <v>4578</v>
      </c>
      <c r="BX27" s="12"/>
      <c r="BY27" s="13" t="s">
        <v>313</v>
      </c>
      <c r="BZ27" s="13" t="s">
        <v>6170</v>
      </c>
      <c r="CA27" s="13" t="s">
        <v>6170</v>
      </c>
      <c r="CB27" s="13" t="s">
        <v>6200</v>
      </c>
      <c r="CC27" s="13"/>
      <c r="CD27" s="13" t="s">
        <v>6198</v>
      </c>
      <c r="CE27" s="13" t="s">
        <v>6184</v>
      </c>
      <c r="CF27" s="13"/>
    </row>
    <row r="28" spans="1:84" ht="18.600000000000001" customHeight="1" x14ac:dyDescent="0.25">
      <c r="A28" s="60" t="s">
        <v>7</v>
      </c>
      <c r="B28" s="2" t="s">
        <v>314</v>
      </c>
      <c r="C28" s="3" t="s">
        <v>2879</v>
      </c>
      <c r="D28" s="12" t="s">
        <v>355</v>
      </c>
      <c r="E28" s="12" t="s">
        <v>354</v>
      </c>
      <c r="F28" s="12" t="s">
        <v>4293</v>
      </c>
      <c r="G28" s="25">
        <v>20023</v>
      </c>
      <c r="H28" s="25">
        <v>16463</v>
      </c>
      <c r="I28" s="25">
        <v>589</v>
      </c>
      <c r="J28" s="25">
        <v>2425</v>
      </c>
      <c r="K28" s="25">
        <v>14453</v>
      </c>
      <c r="L28" s="25">
        <v>13104</v>
      </c>
      <c r="M28" s="25">
        <v>27557</v>
      </c>
      <c r="N28" s="31">
        <v>0.52</v>
      </c>
      <c r="O28" s="25">
        <v>3981</v>
      </c>
      <c r="P28" s="25">
        <v>2140</v>
      </c>
      <c r="Q28" s="25">
        <v>487</v>
      </c>
      <c r="R28" s="25">
        <v>17</v>
      </c>
      <c r="S28" s="25">
        <v>5</v>
      </c>
      <c r="T28" s="25">
        <v>32</v>
      </c>
      <c r="U28" s="61">
        <v>5</v>
      </c>
      <c r="V28" s="58">
        <v>1.1999999999999999E-3</v>
      </c>
      <c r="W28" s="33">
        <v>1.1999999999999999E-3</v>
      </c>
      <c r="X28" s="33">
        <v>6.9999999999999999E-4</v>
      </c>
      <c r="Y28" s="33">
        <v>4.0000000000000002E-4</v>
      </c>
      <c r="Z28" s="33">
        <v>1E-3</v>
      </c>
      <c r="AA28" s="33">
        <v>6.7999999999999996E-3</v>
      </c>
      <c r="AB28" s="25">
        <v>575</v>
      </c>
      <c r="AC28" s="25">
        <v>510</v>
      </c>
      <c r="AD28" s="25">
        <v>10</v>
      </c>
      <c r="AE28" s="25">
        <v>3</v>
      </c>
      <c r="AF28" s="25">
        <v>34</v>
      </c>
      <c r="AG28" s="25">
        <v>9</v>
      </c>
      <c r="AH28" s="25">
        <v>9</v>
      </c>
      <c r="AI28" s="12">
        <v>1.31</v>
      </c>
      <c r="AJ28" s="25">
        <v>28505</v>
      </c>
      <c r="AK28" s="25">
        <v>1525</v>
      </c>
      <c r="AL28" s="33">
        <v>5.6500000000000002E-2</v>
      </c>
      <c r="AM28" s="3" t="s">
        <v>2879</v>
      </c>
      <c r="AN28" s="12" t="s">
        <v>354</v>
      </c>
      <c r="AO28" s="12" t="s">
        <v>354</v>
      </c>
      <c r="AP28" s="12" t="str">
        <f>"296856450353059"</f>
        <v>296856450353059</v>
      </c>
      <c r="AQ28" s="12" t="s">
        <v>355</v>
      </c>
      <c r="AR28" s="12" t="s">
        <v>356</v>
      </c>
      <c r="AS28" s="12" t="s">
        <v>357</v>
      </c>
      <c r="AT28" s="12"/>
      <c r="AU28" s="12" t="s">
        <v>358</v>
      </c>
      <c r="AV28" s="12"/>
      <c r="AW28" s="12" t="s">
        <v>359</v>
      </c>
      <c r="AX28" s="12">
        <v>0</v>
      </c>
      <c r="AY28" s="12">
        <v>262</v>
      </c>
      <c r="AZ28" s="12">
        <v>0</v>
      </c>
      <c r="BA28" s="12" t="s">
        <v>360</v>
      </c>
      <c r="BB28" s="12" t="s">
        <v>7084</v>
      </c>
      <c r="BC28" s="12" t="s">
        <v>7085</v>
      </c>
      <c r="BD28" s="12"/>
      <c r="BE28" s="12" t="s">
        <v>2291</v>
      </c>
      <c r="BF28" s="12"/>
      <c r="BG28" s="12"/>
      <c r="BH28" s="12"/>
      <c r="BI28" s="12"/>
      <c r="BJ28" s="12"/>
      <c r="BK28" s="12"/>
      <c r="BL28" s="12" t="s">
        <v>2292</v>
      </c>
      <c r="BM28" s="12" t="s">
        <v>2292</v>
      </c>
      <c r="BN28" s="12" t="s">
        <v>2292</v>
      </c>
      <c r="BO28" s="12" t="s">
        <v>2292</v>
      </c>
      <c r="BP28" s="12" t="s">
        <v>2880</v>
      </c>
      <c r="BQ28" s="12"/>
      <c r="BR28" s="12"/>
      <c r="BS28" s="12"/>
      <c r="BT28" s="12" t="s">
        <v>361</v>
      </c>
      <c r="BU28" s="12"/>
      <c r="BV28" s="12"/>
      <c r="BW28" s="12" t="s">
        <v>362</v>
      </c>
      <c r="BX28" s="12"/>
      <c r="BY28" s="13" t="s">
        <v>313</v>
      </c>
      <c r="BZ28" s="13" t="s">
        <v>6168</v>
      </c>
      <c r="CA28" s="13" t="s">
        <v>6170</v>
      </c>
      <c r="CB28" s="13" t="s">
        <v>6200</v>
      </c>
      <c r="CC28" s="13"/>
      <c r="CD28" s="13" t="s">
        <v>6196</v>
      </c>
      <c r="CE28" s="13"/>
      <c r="CF28" s="13"/>
    </row>
    <row r="29" spans="1:84" ht="18.600000000000001" customHeight="1" x14ac:dyDescent="0.25">
      <c r="A29" s="28" t="s">
        <v>7</v>
      </c>
      <c r="B29" s="12" t="s">
        <v>6225</v>
      </c>
      <c r="C29" s="3" t="s">
        <v>6226</v>
      </c>
      <c r="D29" s="12" t="s">
        <v>6224</v>
      </c>
      <c r="E29" s="12" t="s">
        <v>7332</v>
      </c>
      <c r="F29" s="12" t="s">
        <v>7428</v>
      </c>
      <c r="G29" s="25">
        <v>23572</v>
      </c>
      <c r="H29" s="25">
        <v>17487</v>
      </c>
      <c r="I29" s="25">
        <v>2005</v>
      </c>
      <c r="J29" s="25">
        <v>3050</v>
      </c>
      <c r="K29" s="25">
        <v>21063</v>
      </c>
      <c r="L29" s="25">
        <v>13884</v>
      </c>
      <c r="M29" s="25">
        <v>34947</v>
      </c>
      <c r="N29" s="31">
        <v>0.6</v>
      </c>
      <c r="O29" s="25">
        <v>1905</v>
      </c>
      <c r="P29" s="25">
        <v>0</v>
      </c>
      <c r="Q29" s="25">
        <v>833</v>
      </c>
      <c r="R29" s="25">
        <v>53</v>
      </c>
      <c r="S29" s="25">
        <v>76</v>
      </c>
      <c r="T29" s="25">
        <v>54</v>
      </c>
      <c r="U29" s="61">
        <v>12</v>
      </c>
      <c r="V29" s="58">
        <v>8.8999999999999999E-3</v>
      </c>
      <c r="W29" s="33">
        <v>0</v>
      </c>
      <c r="X29" s="33">
        <v>0</v>
      </c>
      <c r="Y29" s="33">
        <v>0</v>
      </c>
      <c r="Z29" s="33">
        <v>4.0000000000000001E-3</v>
      </c>
      <c r="AA29" s="33">
        <v>2.3E-3</v>
      </c>
      <c r="AB29" s="25">
        <v>94</v>
      </c>
      <c r="AC29" s="25">
        <v>57</v>
      </c>
      <c r="AD29" s="25">
        <v>4</v>
      </c>
      <c r="AE29" s="25">
        <v>19</v>
      </c>
      <c r="AF29" s="25">
        <v>7</v>
      </c>
      <c r="AG29" s="25">
        <v>6</v>
      </c>
      <c r="AH29" s="25">
        <v>1</v>
      </c>
      <c r="AI29" s="12">
        <v>0.21</v>
      </c>
      <c r="AJ29" s="25">
        <v>27938</v>
      </c>
      <c r="AK29" s="25">
        <v>0</v>
      </c>
      <c r="AL29" s="31">
        <v>0</v>
      </c>
      <c r="AM29" s="3" t="s">
        <v>6226</v>
      </c>
      <c r="AN29" s="12" t="s">
        <v>7332</v>
      </c>
      <c r="AO29" s="12" t="s">
        <v>7332</v>
      </c>
      <c r="AP29" s="12" t="str">
        <f>"377538085622597"</f>
        <v>377538085622597</v>
      </c>
      <c r="AQ29" s="12" t="s">
        <v>6224</v>
      </c>
      <c r="AR29" s="12" t="s">
        <v>7333</v>
      </c>
      <c r="AS29" s="12" t="s">
        <v>7334</v>
      </c>
      <c r="AT29" s="12"/>
      <c r="AU29" s="12" t="s">
        <v>309</v>
      </c>
      <c r="AV29" s="12"/>
      <c r="AW29" s="12"/>
      <c r="AX29" s="12">
        <v>0</v>
      </c>
      <c r="AY29" s="12">
        <v>609</v>
      </c>
      <c r="AZ29" s="12">
        <v>0</v>
      </c>
      <c r="BA29" s="12" t="s">
        <v>7335</v>
      </c>
      <c r="BB29" s="12"/>
      <c r="BC29" s="12" t="s">
        <v>7336</v>
      </c>
      <c r="BD29" s="12"/>
      <c r="BE29" s="12" t="s">
        <v>2291</v>
      </c>
      <c r="BF29" s="12"/>
      <c r="BG29" s="12"/>
      <c r="BH29" s="12"/>
      <c r="BI29" s="12"/>
      <c r="BJ29" s="12"/>
      <c r="BK29" s="12"/>
      <c r="BL29" s="12" t="s">
        <v>2292</v>
      </c>
      <c r="BM29" s="12" t="s">
        <v>2292</v>
      </c>
      <c r="BN29" s="12" t="s">
        <v>2292</v>
      </c>
      <c r="BO29" s="12" t="s">
        <v>2292</v>
      </c>
      <c r="BP29" s="12"/>
      <c r="BQ29" s="12"/>
      <c r="BR29" s="12"/>
      <c r="BS29" s="12"/>
      <c r="BT29" s="12"/>
      <c r="BU29" s="12"/>
      <c r="BV29" s="12"/>
      <c r="BW29" s="12"/>
      <c r="BX29" s="12"/>
      <c r="BY29" s="2"/>
      <c r="BZ29" s="13" t="s">
        <v>6168</v>
      </c>
      <c r="CA29" s="13"/>
      <c r="CB29" s="13"/>
      <c r="CC29" s="13"/>
      <c r="CD29" s="13"/>
      <c r="CE29" s="13"/>
      <c r="CF29" s="13"/>
    </row>
    <row r="30" spans="1:84" ht="18.600000000000001" customHeight="1" x14ac:dyDescent="0.25">
      <c r="A30" s="28" t="s">
        <v>7</v>
      </c>
      <c r="B30" s="12" t="s">
        <v>6236</v>
      </c>
      <c r="C30" s="3" t="s">
        <v>6237</v>
      </c>
      <c r="D30" s="12" t="s">
        <v>6235</v>
      </c>
      <c r="E30" s="12" t="s">
        <v>7337</v>
      </c>
      <c r="F30" s="12" t="s">
        <v>7413</v>
      </c>
      <c r="G30" s="25">
        <v>48511</v>
      </c>
      <c r="H30" s="25">
        <v>37193</v>
      </c>
      <c r="I30" s="25">
        <v>2329</v>
      </c>
      <c r="J30" s="25">
        <v>7814</v>
      </c>
      <c r="K30" s="25">
        <v>35484</v>
      </c>
      <c r="L30" s="25">
        <v>70859</v>
      </c>
      <c r="M30" s="25">
        <v>106343</v>
      </c>
      <c r="N30" s="31">
        <v>0.33</v>
      </c>
      <c r="O30" s="25">
        <v>8892</v>
      </c>
      <c r="P30" s="25">
        <v>2048</v>
      </c>
      <c r="Q30" s="25">
        <v>1001</v>
      </c>
      <c r="R30" s="25">
        <v>36</v>
      </c>
      <c r="S30" s="25">
        <v>58</v>
      </c>
      <c r="T30" s="25">
        <v>42</v>
      </c>
      <c r="U30" s="61">
        <v>36</v>
      </c>
      <c r="V30" s="58">
        <v>5.7000000000000002E-3</v>
      </c>
      <c r="W30" s="33">
        <v>0</v>
      </c>
      <c r="X30" s="33">
        <v>0</v>
      </c>
      <c r="Y30" s="33">
        <v>0</v>
      </c>
      <c r="Z30" s="33">
        <v>7.1000000000000004E-3</v>
      </c>
      <c r="AA30" s="33">
        <v>2.0999999999999999E-3</v>
      </c>
      <c r="AB30" s="25">
        <v>698</v>
      </c>
      <c r="AC30" s="25">
        <v>563</v>
      </c>
      <c r="AD30" s="25">
        <v>45</v>
      </c>
      <c r="AE30" s="25">
        <v>19</v>
      </c>
      <c r="AF30" s="25">
        <v>43</v>
      </c>
      <c r="AG30" s="25">
        <v>25</v>
      </c>
      <c r="AH30" s="25">
        <v>3</v>
      </c>
      <c r="AI30" s="12">
        <v>1.59</v>
      </c>
      <c r="AJ30" s="25">
        <v>12111</v>
      </c>
      <c r="AK30" s="25">
        <v>0</v>
      </c>
      <c r="AL30" s="31">
        <v>0</v>
      </c>
      <c r="AM30" s="3" t="s">
        <v>6237</v>
      </c>
      <c r="AN30" s="12" t="s">
        <v>7337</v>
      </c>
      <c r="AO30" s="12" t="s">
        <v>7337</v>
      </c>
      <c r="AP30" s="12" t="str">
        <f>"1147426305297192"</f>
        <v>1147426305297192</v>
      </c>
      <c r="AQ30" s="12" t="s">
        <v>6235</v>
      </c>
      <c r="AR30" s="12" t="s">
        <v>7338</v>
      </c>
      <c r="AS30" s="12" t="s">
        <v>7339</v>
      </c>
      <c r="AT30" s="12" t="s">
        <v>7340</v>
      </c>
      <c r="AU30" s="12" t="s">
        <v>309</v>
      </c>
      <c r="AV30" s="12"/>
      <c r="AW30" s="12"/>
      <c r="AX30" s="12">
        <v>0</v>
      </c>
      <c r="AY30" s="12">
        <v>985</v>
      </c>
      <c r="AZ30" s="12">
        <v>0</v>
      </c>
      <c r="BA30" s="12" t="s">
        <v>7341</v>
      </c>
      <c r="BB30" s="12" t="s">
        <v>7342</v>
      </c>
      <c r="BC30" s="12" t="s">
        <v>7343</v>
      </c>
      <c r="BD30" s="12"/>
      <c r="BE30" s="12" t="s">
        <v>2291</v>
      </c>
      <c r="BF30" s="12"/>
      <c r="BG30" s="12"/>
      <c r="BH30" s="12"/>
      <c r="BI30" s="12"/>
      <c r="BJ30" s="12"/>
      <c r="BK30" s="12"/>
      <c r="BL30" s="12" t="s">
        <v>2292</v>
      </c>
      <c r="BM30" s="12" t="s">
        <v>2292</v>
      </c>
      <c r="BN30" s="12" t="s">
        <v>2292</v>
      </c>
      <c r="BO30" s="12" t="s">
        <v>2292</v>
      </c>
      <c r="BP30" s="12"/>
      <c r="BQ30" s="12"/>
      <c r="BR30" s="12"/>
      <c r="BS30" s="12"/>
      <c r="BT30" s="12"/>
      <c r="BU30" s="12"/>
      <c r="BV30" s="12"/>
      <c r="BW30" s="12" t="s">
        <v>7344</v>
      </c>
      <c r="BX30" s="12"/>
      <c r="BY30" s="2"/>
      <c r="BZ30" s="13" t="s">
        <v>6170</v>
      </c>
      <c r="CA30" s="13" t="s">
        <v>6170</v>
      </c>
      <c r="CB30" s="13" t="s">
        <v>6197</v>
      </c>
      <c r="CC30" s="13"/>
      <c r="CD30" s="13" t="s">
        <v>6198</v>
      </c>
      <c r="CE30" s="13"/>
      <c r="CF30" s="13"/>
    </row>
    <row r="31" spans="1:84" ht="18.600000000000001" customHeight="1" x14ac:dyDescent="0.25">
      <c r="A31" s="60" t="s">
        <v>7</v>
      </c>
      <c r="B31" s="2" t="s">
        <v>315</v>
      </c>
      <c r="C31" s="3" t="s">
        <v>3882</v>
      </c>
      <c r="D31" s="12" t="s">
        <v>3408</v>
      </c>
      <c r="E31" s="12" t="s">
        <v>3407</v>
      </c>
      <c r="F31" s="12" t="s">
        <v>4086</v>
      </c>
      <c r="G31" s="25">
        <v>61151</v>
      </c>
      <c r="H31" s="25">
        <v>41316</v>
      </c>
      <c r="I31" s="25">
        <v>4509</v>
      </c>
      <c r="J31" s="25">
        <v>12858</v>
      </c>
      <c r="K31" s="25">
        <v>218349</v>
      </c>
      <c r="L31" s="25">
        <v>222923</v>
      </c>
      <c r="M31" s="25">
        <v>441272</v>
      </c>
      <c r="N31" s="31">
        <v>0.49</v>
      </c>
      <c r="O31" s="25">
        <v>7963</v>
      </c>
      <c r="P31" s="25">
        <v>98624</v>
      </c>
      <c r="Q31" s="25">
        <v>1680</v>
      </c>
      <c r="R31" s="25">
        <v>152</v>
      </c>
      <c r="S31" s="25">
        <v>132</v>
      </c>
      <c r="T31" s="25">
        <v>420</v>
      </c>
      <c r="U31" s="61">
        <v>84</v>
      </c>
      <c r="V31" s="58">
        <v>1.6000000000000001E-3</v>
      </c>
      <c r="W31" s="33">
        <v>1.5E-3</v>
      </c>
      <c r="X31" s="33">
        <v>5.0000000000000001E-4</v>
      </c>
      <c r="Y31" s="33">
        <v>6.9999999999999999E-4</v>
      </c>
      <c r="Z31" s="33">
        <v>9.1000000000000004E-3</v>
      </c>
      <c r="AA31" s="33">
        <v>1.9E-3</v>
      </c>
      <c r="AB31" s="25">
        <v>2788</v>
      </c>
      <c r="AC31" s="25">
        <v>2067</v>
      </c>
      <c r="AD31" s="25">
        <v>573</v>
      </c>
      <c r="AE31" s="25">
        <v>7</v>
      </c>
      <c r="AF31" s="25">
        <v>113</v>
      </c>
      <c r="AG31" s="25">
        <v>19</v>
      </c>
      <c r="AH31" s="25">
        <v>9</v>
      </c>
      <c r="AI31" s="12">
        <v>6.35</v>
      </c>
      <c r="AJ31" s="25">
        <v>17977</v>
      </c>
      <c r="AK31" s="25">
        <v>9043</v>
      </c>
      <c r="AL31" s="33">
        <v>1.0122</v>
      </c>
      <c r="AM31" s="3" t="s">
        <v>3882</v>
      </c>
      <c r="AN31" s="12" t="s">
        <v>3407</v>
      </c>
      <c r="AO31" s="12" t="s">
        <v>3407</v>
      </c>
      <c r="AP31" s="12" t="str">
        <f>"1716615188626933"</f>
        <v>1716615188626933</v>
      </c>
      <c r="AQ31" s="12" t="s">
        <v>3408</v>
      </c>
      <c r="AR31" s="12" t="s">
        <v>3409</v>
      </c>
      <c r="AS31" s="12" t="s">
        <v>3410</v>
      </c>
      <c r="AT31" s="12"/>
      <c r="AU31" s="12" t="s">
        <v>324</v>
      </c>
      <c r="AV31" s="12" t="s">
        <v>5731</v>
      </c>
      <c r="AW31" s="12"/>
      <c r="AX31" s="12">
        <v>283</v>
      </c>
      <c r="AY31" s="12">
        <v>456</v>
      </c>
      <c r="AZ31" s="12">
        <v>283</v>
      </c>
      <c r="BA31" s="12" t="s">
        <v>3411</v>
      </c>
      <c r="BB31" s="12" t="s">
        <v>6618</v>
      </c>
      <c r="BC31" s="12" t="s">
        <v>6619</v>
      </c>
      <c r="BD31" s="12"/>
      <c r="BE31" s="12" t="s">
        <v>2291</v>
      </c>
      <c r="BF31" s="12"/>
      <c r="BG31" s="12"/>
      <c r="BH31" s="12"/>
      <c r="BI31" s="12"/>
      <c r="BJ31" s="12"/>
      <c r="BK31" s="12"/>
      <c r="BL31" s="12" t="s">
        <v>2292</v>
      </c>
      <c r="BM31" s="12" t="s">
        <v>2292</v>
      </c>
      <c r="BN31" s="12" t="s">
        <v>2292</v>
      </c>
      <c r="BO31" s="12" t="s">
        <v>2292</v>
      </c>
      <c r="BP31" s="12"/>
      <c r="BQ31" s="12"/>
      <c r="BR31" s="12"/>
      <c r="BS31" s="12"/>
      <c r="BT31" s="12" t="s">
        <v>3412</v>
      </c>
      <c r="BU31" s="12" t="s">
        <v>326</v>
      </c>
      <c r="BV31" s="12"/>
      <c r="BW31" s="12" t="s">
        <v>3413</v>
      </c>
      <c r="BX31" s="12"/>
      <c r="BY31" s="13" t="s">
        <v>313</v>
      </c>
      <c r="BZ31" s="13" t="s">
        <v>6172</v>
      </c>
      <c r="CA31" s="13" t="s">
        <v>6170</v>
      </c>
      <c r="CB31" s="13" t="s">
        <v>312</v>
      </c>
      <c r="CC31" s="13"/>
      <c r="CD31" s="13" t="s">
        <v>6198</v>
      </c>
      <c r="CE31" s="13"/>
      <c r="CF31" s="13"/>
    </row>
    <row r="32" spans="1:84" ht="18.600000000000001" customHeight="1" x14ac:dyDescent="0.25">
      <c r="A32" s="60" t="s">
        <v>8</v>
      </c>
      <c r="B32" s="2" t="s">
        <v>315</v>
      </c>
      <c r="C32" s="3" t="s">
        <v>2926</v>
      </c>
      <c r="D32" s="12" t="s">
        <v>364</v>
      </c>
      <c r="E32" s="12" t="s">
        <v>363</v>
      </c>
      <c r="F32" s="12" t="s">
        <v>4321</v>
      </c>
      <c r="G32" s="25">
        <v>0</v>
      </c>
      <c r="H32" s="25">
        <v>0</v>
      </c>
      <c r="I32" s="25">
        <v>0</v>
      </c>
      <c r="J32" s="25">
        <v>0</v>
      </c>
      <c r="K32" s="25">
        <v>0</v>
      </c>
      <c r="L32" s="25">
        <v>0</v>
      </c>
      <c r="M32" s="25">
        <v>0</v>
      </c>
      <c r="N32" s="31">
        <v>0</v>
      </c>
      <c r="O32" s="25">
        <v>0</v>
      </c>
      <c r="P32" s="25">
        <v>0</v>
      </c>
      <c r="Q32" s="25">
        <v>0</v>
      </c>
      <c r="R32" s="25">
        <v>0</v>
      </c>
      <c r="S32" s="25">
        <v>0</v>
      </c>
      <c r="T32" s="25">
        <v>0</v>
      </c>
      <c r="U32" s="61">
        <v>0</v>
      </c>
      <c r="V32" s="59"/>
      <c r="W32" s="12" t="s">
        <v>3926</v>
      </c>
      <c r="X32" s="12" t="s">
        <v>3926</v>
      </c>
      <c r="Y32" s="12" t="s">
        <v>3926</v>
      </c>
      <c r="Z32" s="12" t="s">
        <v>3926</v>
      </c>
      <c r="AA32" s="12" t="s">
        <v>3926</v>
      </c>
      <c r="AB32" s="25" t="s">
        <v>3927</v>
      </c>
      <c r="AC32" s="25">
        <v>0</v>
      </c>
      <c r="AD32" s="25">
        <v>0</v>
      </c>
      <c r="AE32" s="25">
        <v>0</v>
      </c>
      <c r="AF32" s="25">
        <v>0</v>
      </c>
      <c r="AG32" s="25">
        <v>0</v>
      </c>
      <c r="AH32" s="25">
        <v>0</v>
      </c>
      <c r="AI32" s="12">
        <v>0</v>
      </c>
      <c r="AJ32" s="25">
        <v>552</v>
      </c>
      <c r="AK32" s="25">
        <v>43</v>
      </c>
      <c r="AL32" s="33">
        <v>8.4500000000000006E-2</v>
      </c>
      <c r="AM32" s="3" t="s">
        <v>2926</v>
      </c>
      <c r="AN32" s="12" t="s">
        <v>363</v>
      </c>
      <c r="AO32" s="12" t="s">
        <v>363</v>
      </c>
      <c r="AP32" s="12" t="str">
        <f>"317523955052518"</f>
        <v>317523955052518</v>
      </c>
      <c r="AQ32" s="12" t="s">
        <v>364</v>
      </c>
      <c r="AR32" s="12" t="s">
        <v>365</v>
      </c>
      <c r="AS32" s="12" t="s">
        <v>366</v>
      </c>
      <c r="AT32" s="12"/>
      <c r="AU32" s="12" t="s">
        <v>367</v>
      </c>
      <c r="AV32" s="12"/>
      <c r="AW32" s="12" t="s">
        <v>368</v>
      </c>
      <c r="AX32" s="12">
        <v>0</v>
      </c>
      <c r="AY32" s="12">
        <v>0</v>
      </c>
      <c r="AZ32" s="12">
        <v>0</v>
      </c>
      <c r="BA32" s="12" t="s">
        <v>251</v>
      </c>
      <c r="BB32" s="12"/>
      <c r="BC32" s="12" t="s">
        <v>7156</v>
      </c>
      <c r="BD32" s="12"/>
      <c r="BE32" s="12" t="s">
        <v>2291</v>
      </c>
      <c r="BF32" s="12"/>
      <c r="BG32" s="12"/>
      <c r="BH32" s="12"/>
      <c r="BI32" s="12"/>
      <c r="BJ32" s="12"/>
      <c r="BK32" s="12"/>
      <c r="BL32" s="12" t="s">
        <v>2292</v>
      </c>
      <c r="BM32" s="12" t="s">
        <v>2292</v>
      </c>
      <c r="BN32" s="12" t="s">
        <v>2292</v>
      </c>
      <c r="BO32" s="12" t="s">
        <v>2292</v>
      </c>
      <c r="BP32" s="12"/>
      <c r="BQ32" s="12"/>
      <c r="BR32" s="12"/>
      <c r="BS32" s="12"/>
      <c r="BT32" s="12"/>
      <c r="BU32" s="12"/>
      <c r="BV32" s="12"/>
      <c r="BW32" s="12"/>
      <c r="BX32" s="12"/>
      <c r="BY32" s="2" t="s">
        <v>344</v>
      </c>
      <c r="BZ32" s="13" t="s">
        <v>6170</v>
      </c>
      <c r="CA32" s="13" t="s">
        <v>6170</v>
      </c>
      <c r="CB32" s="13" t="s">
        <v>312</v>
      </c>
      <c r="CC32" s="13"/>
      <c r="CD32" s="13" t="s">
        <v>6198</v>
      </c>
      <c r="CE32" s="13"/>
      <c r="CF32" s="13"/>
    </row>
    <row r="33" spans="1:84" ht="18.600000000000001" customHeight="1" x14ac:dyDescent="0.25">
      <c r="A33" s="60" t="s">
        <v>9</v>
      </c>
      <c r="B33" s="2" t="s">
        <v>369</v>
      </c>
      <c r="C33" s="3" t="s">
        <v>5202</v>
      </c>
      <c r="D33" s="12" t="s">
        <v>4468</v>
      </c>
      <c r="E33" s="12" t="s">
        <v>5110</v>
      </c>
      <c r="F33" s="12" t="s">
        <v>4469</v>
      </c>
      <c r="G33" s="25">
        <v>1845</v>
      </c>
      <c r="H33" s="25">
        <v>1476</v>
      </c>
      <c r="I33" s="25">
        <v>243</v>
      </c>
      <c r="J33" s="25">
        <v>112</v>
      </c>
      <c r="K33" s="25">
        <v>0</v>
      </c>
      <c r="L33" s="25">
        <v>0</v>
      </c>
      <c r="M33" s="25">
        <v>0</v>
      </c>
      <c r="N33" s="31">
        <v>0</v>
      </c>
      <c r="O33" s="25">
        <v>0</v>
      </c>
      <c r="P33" s="25">
        <v>0</v>
      </c>
      <c r="Q33" s="25">
        <v>9</v>
      </c>
      <c r="R33" s="25">
        <v>2</v>
      </c>
      <c r="S33" s="25">
        <v>1</v>
      </c>
      <c r="T33" s="25">
        <v>0</v>
      </c>
      <c r="U33" s="61">
        <v>2</v>
      </c>
      <c r="V33" s="58">
        <v>1.1900000000000001E-2</v>
      </c>
      <c r="W33" s="33">
        <v>1.15E-2</v>
      </c>
      <c r="X33" s="33">
        <v>7.1000000000000004E-3</v>
      </c>
      <c r="Y33" s="33">
        <v>6.8999999999999999E-3</v>
      </c>
      <c r="Z33" s="12" t="s">
        <v>3926</v>
      </c>
      <c r="AA33" s="12" t="s">
        <v>3926</v>
      </c>
      <c r="AB33" s="25">
        <v>28</v>
      </c>
      <c r="AC33" s="25">
        <v>25</v>
      </c>
      <c r="AD33" s="25">
        <v>1</v>
      </c>
      <c r="AE33" s="25">
        <v>2</v>
      </c>
      <c r="AF33" s="25">
        <v>0</v>
      </c>
      <c r="AG33" s="25">
        <v>0</v>
      </c>
      <c r="AH33" s="25">
        <v>0</v>
      </c>
      <c r="AI33" s="12">
        <v>0.06</v>
      </c>
      <c r="AJ33" s="25">
        <v>6824</v>
      </c>
      <c r="AK33" s="25">
        <v>2360</v>
      </c>
      <c r="AL33" s="33">
        <v>0.52869999999999995</v>
      </c>
      <c r="AM33" s="3" t="s">
        <v>5202</v>
      </c>
      <c r="AN33" s="12" t="s">
        <v>5110</v>
      </c>
      <c r="AO33" s="12" t="s">
        <v>5110</v>
      </c>
      <c r="AP33" s="12" t="str">
        <f>"372946176176"</f>
        <v>372946176176</v>
      </c>
      <c r="AQ33" s="12" t="s">
        <v>4468</v>
      </c>
      <c r="AR33" s="12" t="s">
        <v>4570</v>
      </c>
      <c r="AS33" s="12" t="s">
        <v>4571</v>
      </c>
      <c r="AT33" s="12" t="s">
        <v>4572</v>
      </c>
      <c r="AU33" s="12" t="s">
        <v>309</v>
      </c>
      <c r="AV33" s="12"/>
      <c r="AW33" s="12"/>
      <c r="AX33" s="12">
        <v>0</v>
      </c>
      <c r="AY33" s="12">
        <v>67</v>
      </c>
      <c r="AZ33" s="12">
        <v>0</v>
      </c>
      <c r="BA33" s="12" t="s">
        <v>5316</v>
      </c>
      <c r="BB33" s="12" t="s">
        <v>5844</v>
      </c>
      <c r="BC33" s="12" t="s">
        <v>6662</v>
      </c>
      <c r="BD33" s="12"/>
      <c r="BE33" s="12" t="s">
        <v>2291</v>
      </c>
      <c r="BF33" s="12"/>
      <c r="BG33" s="12"/>
      <c r="BH33" s="12"/>
      <c r="BI33" s="12"/>
      <c r="BJ33" s="12"/>
      <c r="BK33" s="12"/>
      <c r="BL33" s="12" t="s">
        <v>2292</v>
      </c>
      <c r="BM33" s="12" t="s">
        <v>2292</v>
      </c>
      <c r="BN33" s="12" t="s">
        <v>2292</v>
      </c>
      <c r="BO33" s="12" t="s">
        <v>2292</v>
      </c>
      <c r="BP33" s="12"/>
      <c r="BQ33" s="12"/>
      <c r="BR33" s="12"/>
      <c r="BS33" s="12"/>
      <c r="BT33" s="12"/>
      <c r="BU33" s="12"/>
      <c r="BV33" s="12"/>
      <c r="BW33" s="12" t="s">
        <v>4573</v>
      </c>
      <c r="BX33" s="12"/>
      <c r="BY33" s="13" t="s">
        <v>313</v>
      </c>
      <c r="BZ33" s="13" t="s">
        <v>6172</v>
      </c>
      <c r="CA33" s="13" t="s">
        <v>6170</v>
      </c>
      <c r="CB33" s="13" t="s">
        <v>6201</v>
      </c>
      <c r="CC33" s="13"/>
      <c r="CD33" s="13" t="s">
        <v>6198</v>
      </c>
      <c r="CE33" s="13"/>
      <c r="CF33" s="13"/>
    </row>
    <row r="34" spans="1:84" ht="18.600000000000001" customHeight="1" x14ac:dyDescent="0.25">
      <c r="A34" s="60" t="s">
        <v>9</v>
      </c>
      <c r="B34" s="2" t="s">
        <v>315</v>
      </c>
      <c r="C34" s="3" t="s">
        <v>3132</v>
      </c>
      <c r="D34" s="12" t="s">
        <v>371</v>
      </c>
      <c r="E34" s="12"/>
      <c r="F34" s="12" t="s">
        <v>4440</v>
      </c>
      <c r="G34" s="25">
        <v>3</v>
      </c>
      <c r="H34" s="25">
        <v>0</v>
      </c>
      <c r="I34" s="25">
        <v>0</v>
      </c>
      <c r="J34" s="25">
        <v>3</v>
      </c>
      <c r="K34" s="25">
        <v>0</v>
      </c>
      <c r="L34" s="25">
        <v>0</v>
      </c>
      <c r="M34" s="25">
        <v>0</v>
      </c>
      <c r="N34" s="31">
        <v>0</v>
      </c>
      <c r="O34" s="25">
        <v>0</v>
      </c>
      <c r="P34" s="25">
        <v>0</v>
      </c>
      <c r="Q34" s="25">
        <v>0</v>
      </c>
      <c r="R34" s="25">
        <v>0</v>
      </c>
      <c r="S34" s="25">
        <v>0</v>
      </c>
      <c r="T34" s="25">
        <v>0</v>
      </c>
      <c r="U34" s="61">
        <v>0</v>
      </c>
      <c r="V34" s="58">
        <v>0</v>
      </c>
      <c r="W34" s="33">
        <v>0</v>
      </c>
      <c r="X34" s="12" t="s">
        <v>3926</v>
      </c>
      <c r="Y34" s="33">
        <v>0</v>
      </c>
      <c r="Z34" s="12" t="s">
        <v>3926</v>
      </c>
      <c r="AA34" s="12" t="s">
        <v>3926</v>
      </c>
      <c r="AB34" s="25">
        <v>8</v>
      </c>
      <c r="AC34" s="25">
        <v>4</v>
      </c>
      <c r="AD34" s="25">
        <v>0</v>
      </c>
      <c r="AE34" s="25">
        <v>4</v>
      </c>
      <c r="AF34" s="25">
        <v>0</v>
      </c>
      <c r="AG34" s="25">
        <v>0</v>
      </c>
      <c r="AH34" s="25">
        <v>0</v>
      </c>
      <c r="AI34" s="12">
        <v>0.02</v>
      </c>
      <c r="AJ34" s="25">
        <v>534</v>
      </c>
      <c r="AK34" s="25">
        <v>171</v>
      </c>
      <c r="AL34" s="33">
        <v>0.47110000000000002</v>
      </c>
      <c r="AM34" s="3" t="s">
        <v>3132</v>
      </c>
      <c r="AN34" s="12" t="s">
        <v>5434</v>
      </c>
      <c r="AO34" s="12"/>
      <c r="AP34" s="12" t="str">
        <f>"119987794693584"</f>
        <v>119987794693584</v>
      </c>
      <c r="AQ34" s="12" t="s">
        <v>371</v>
      </c>
      <c r="AR34" s="12"/>
      <c r="AS34" s="12" t="s">
        <v>372</v>
      </c>
      <c r="AT34" s="12"/>
      <c r="AU34" s="12" t="s">
        <v>324</v>
      </c>
      <c r="AV34" s="12"/>
      <c r="AW34" s="12"/>
      <c r="AX34" s="12">
        <v>0</v>
      </c>
      <c r="AY34" s="12">
        <v>0</v>
      </c>
      <c r="AZ34" s="12">
        <v>0</v>
      </c>
      <c r="BA34" s="12" t="s">
        <v>373</v>
      </c>
      <c r="BB34" s="12"/>
      <c r="BC34" s="12"/>
      <c r="BD34" s="12"/>
      <c r="BE34" s="12" t="s">
        <v>2291</v>
      </c>
      <c r="BF34" s="12"/>
      <c r="BG34" s="12"/>
      <c r="BH34" s="12"/>
      <c r="BI34" s="12"/>
      <c r="BJ34" s="12"/>
      <c r="BK34" s="12"/>
      <c r="BL34" s="12" t="s">
        <v>2292</v>
      </c>
      <c r="BM34" s="12" t="s">
        <v>2292</v>
      </c>
      <c r="BN34" s="12" t="s">
        <v>2292</v>
      </c>
      <c r="BO34" s="12" t="s">
        <v>2292</v>
      </c>
      <c r="BP34" s="12"/>
      <c r="BQ34" s="12"/>
      <c r="BR34" s="12"/>
      <c r="BS34" s="12"/>
      <c r="BT34" s="12"/>
      <c r="BU34" s="12"/>
      <c r="BV34" s="12"/>
      <c r="BW34" s="12"/>
      <c r="BX34" s="12"/>
      <c r="BY34" s="14" t="s">
        <v>370</v>
      </c>
      <c r="BZ34" s="13" t="s">
        <v>6170</v>
      </c>
      <c r="CA34" s="13" t="s">
        <v>6170</v>
      </c>
      <c r="CB34" s="13" t="s">
        <v>312</v>
      </c>
      <c r="CC34" s="13"/>
      <c r="CD34" s="13" t="s">
        <v>6198</v>
      </c>
      <c r="CE34" s="13" t="s">
        <v>6184</v>
      </c>
      <c r="CF34" s="13"/>
    </row>
    <row r="35" spans="1:84" ht="18.600000000000001" customHeight="1" x14ac:dyDescent="0.25">
      <c r="A35" s="60" t="s">
        <v>380</v>
      </c>
      <c r="B35" s="2" t="s">
        <v>381</v>
      </c>
      <c r="C35" s="3" t="s">
        <v>2973</v>
      </c>
      <c r="D35" s="12" t="s">
        <v>375</v>
      </c>
      <c r="E35" s="12" t="s">
        <v>10</v>
      </c>
      <c r="F35" s="12" t="s">
        <v>4350</v>
      </c>
      <c r="G35" s="25">
        <v>2285</v>
      </c>
      <c r="H35" s="25">
        <v>1862</v>
      </c>
      <c r="I35" s="25">
        <v>309</v>
      </c>
      <c r="J35" s="25">
        <v>85</v>
      </c>
      <c r="K35" s="25">
        <v>0</v>
      </c>
      <c r="L35" s="25">
        <v>0</v>
      </c>
      <c r="M35" s="25">
        <v>0</v>
      </c>
      <c r="N35" s="31">
        <v>0</v>
      </c>
      <c r="O35" s="25">
        <v>0</v>
      </c>
      <c r="P35" s="25">
        <v>0</v>
      </c>
      <c r="Q35" s="25">
        <v>20</v>
      </c>
      <c r="R35" s="25">
        <v>0</v>
      </c>
      <c r="S35" s="25">
        <v>3</v>
      </c>
      <c r="T35" s="25">
        <v>1</v>
      </c>
      <c r="U35" s="61">
        <v>5</v>
      </c>
      <c r="V35" s="58">
        <v>1.12E-2</v>
      </c>
      <c r="W35" s="33">
        <v>1.14E-2</v>
      </c>
      <c r="X35" s="12" t="s">
        <v>3926</v>
      </c>
      <c r="Y35" s="12" t="s">
        <v>3926</v>
      </c>
      <c r="Z35" s="12" t="s">
        <v>3926</v>
      </c>
      <c r="AA35" s="12" t="s">
        <v>3926</v>
      </c>
      <c r="AB35" s="25">
        <v>1</v>
      </c>
      <c r="AC35" s="25">
        <v>1</v>
      </c>
      <c r="AD35" s="25">
        <v>0</v>
      </c>
      <c r="AE35" s="25">
        <v>0</v>
      </c>
      <c r="AF35" s="25">
        <v>0</v>
      </c>
      <c r="AG35" s="25">
        <v>0</v>
      </c>
      <c r="AH35" s="25">
        <v>0</v>
      </c>
      <c r="AI35" s="12">
        <v>0</v>
      </c>
      <c r="AJ35" s="25">
        <v>206512</v>
      </c>
      <c r="AK35" s="25">
        <v>12843</v>
      </c>
      <c r="AL35" s="33">
        <v>6.6299999999999998E-2</v>
      </c>
      <c r="AM35" s="3" t="s">
        <v>2973</v>
      </c>
      <c r="AN35" s="12" t="s">
        <v>10</v>
      </c>
      <c r="AO35" s="12" t="s">
        <v>10</v>
      </c>
      <c r="AP35" s="12" t="str">
        <f>"122785784486304"</f>
        <v>122785784486304</v>
      </c>
      <c r="AQ35" s="12" t="s">
        <v>375</v>
      </c>
      <c r="AR35" s="12" t="s">
        <v>376</v>
      </c>
      <c r="AS35" s="12" t="s">
        <v>377</v>
      </c>
      <c r="AT35" s="12"/>
      <c r="AU35" s="12" t="s">
        <v>309</v>
      </c>
      <c r="AV35" s="12"/>
      <c r="AW35" s="12"/>
      <c r="AX35" s="12">
        <v>0</v>
      </c>
      <c r="AY35" s="12">
        <v>96</v>
      </c>
      <c r="AZ35" s="12">
        <v>0</v>
      </c>
      <c r="BA35" s="12" t="s">
        <v>378</v>
      </c>
      <c r="BB35" s="12" t="s">
        <v>6011</v>
      </c>
      <c r="BC35" s="12" t="s">
        <v>7213</v>
      </c>
      <c r="BD35" s="12"/>
      <c r="BE35" s="12" t="s">
        <v>2291</v>
      </c>
      <c r="BF35" s="12"/>
      <c r="BG35" s="12"/>
      <c r="BH35" s="12"/>
      <c r="BI35" s="12"/>
      <c r="BJ35" s="12"/>
      <c r="BK35" s="12"/>
      <c r="BL35" s="12" t="s">
        <v>2292</v>
      </c>
      <c r="BM35" s="12" t="s">
        <v>2292</v>
      </c>
      <c r="BN35" s="12" t="s">
        <v>2292</v>
      </c>
      <c r="BO35" s="12" t="s">
        <v>2292</v>
      </c>
      <c r="BP35" s="12"/>
      <c r="BQ35" s="12"/>
      <c r="BR35" s="12"/>
      <c r="BS35" s="12"/>
      <c r="BT35" s="12"/>
      <c r="BU35" s="12"/>
      <c r="BV35" s="12"/>
      <c r="BW35" s="12" t="s">
        <v>379</v>
      </c>
      <c r="BX35" s="12"/>
      <c r="BY35" s="13" t="s">
        <v>313</v>
      </c>
      <c r="BZ35" s="13" t="s">
        <v>312</v>
      </c>
      <c r="CA35" s="13"/>
      <c r="CB35" s="13"/>
      <c r="CC35" s="13"/>
      <c r="CD35" s="13"/>
      <c r="CE35" s="13"/>
      <c r="CF35" s="13"/>
    </row>
    <row r="36" spans="1:84" ht="18.600000000000001" customHeight="1" x14ac:dyDescent="0.25">
      <c r="A36" s="60" t="s">
        <v>380</v>
      </c>
      <c r="B36" s="2" t="s">
        <v>5717</v>
      </c>
      <c r="C36" s="3" t="s">
        <v>5718</v>
      </c>
      <c r="D36" s="12" t="s">
        <v>5932</v>
      </c>
      <c r="E36" s="12" t="s">
        <v>5931</v>
      </c>
      <c r="F36" s="12" t="s">
        <v>6082</v>
      </c>
      <c r="G36" s="25">
        <v>1790</v>
      </c>
      <c r="H36" s="25">
        <v>1570</v>
      </c>
      <c r="I36" s="25">
        <v>90</v>
      </c>
      <c r="J36" s="25">
        <v>105</v>
      </c>
      <c r="K36" s="25">
        <v>1347</v>
      </c>
      <c r="L36" s="25">
        <v>1116</v>
      </c>
      <c r="M36" s="25">
        <v>2463</v>
      </c>
      <c r="N36" s="31">
        <v>0.55000000000000004</v>
      </c>
      <c r="O36" s="25">
        <v>101</v>
      </c>
      <c r="P36" s="25">
        <v>0</v>
      </c>
      <c r="Q36" s="25">
        <v>15</v>
      </c>
      <c r="R36" s="25">
        <v>3</v>
      </c>
      <c r="S36" s="25">
        <v>0</v>
      </c>
      <c r="T36" s="25">
        <v>4</v>
      </c>
      <c r="U36" s="61">
        <v>3</v>
      </c>
      <c r="V36" s="58">
        <v>9.2999999999999992E-3</v>
      </c>
      <c r="W36" s="33">
        <v>9.4000000000000004E-3</v>
      </c>
      <c r="X36" s="12" t="s">
        <v>3926</v>
      </c>
      <c r="Y36" s="12" t="s">
        <v>3926</v>
      </c>
      <c r="Z36" s="33">
        <v>6.7000000000000002E-3</v>
      </c>
      <c r="AA36" s="12" t="s">
        <v>3926</v>
      </c>
      <c r="AB36" s="25">
        <v>98</v>
      </c>
      <c r="AC36" s="25">
        <v>86</v>
      </c>
      <c r="AD36" s="25">
        <v>0</v>
      </c>
      <c r="AE36" s="25">
        <v>0</v>
      </c>
      <c r="AF36" s="25">
        <v>11</v>
      </c>
      <c r="AG36" s="25">
        <v>1</v>
      </c>
      <c r="AH36" s="25">
        <v>0</v>
      </c>
      <c r="AI36" s="12">
        <v>0.22</v>
      </c>
      <c r="AJ36" s="25">
        <v>1935</v>
      </c>
      <c r="AK36" s="25">
        <v>0</v>
      </c>
      <c r="AL36" s="31">
        <v>0</v>
      </c>
      <c r="AM36" s="3" t="s">
        <v>5718</v>
      </c>
      <c r="AN36" s="12" t="s">
        <v>5931</v>
      </c>
      <c r="AO36" s="12" t="s">
        <v>5931</v>
      </c>
      <c r="AP36" s="12" t="str">
        <f>"1060823770653137"</f>
        <v>1060823770653137</v>
      </c>
      <c r="AQ36" s="12" t="s">
        <v>5932</v>
      </c>
      <c r="AR36" s="12"/>
      <c r="AS36" s="12"/>
      <c r="AT36" s="12" t="s">
        <v>5933</v>
      </c>
      <c r="AU36" s="12" t="s">
        <v>309</v>
      </c>
      <c r="AV36" s="12"/>
      <c r="AW36" s="12"/>
      <c r="AX36" s="12">
        <v>0</v>
      </c>
      <c r="AY36" s="12">
        <v>5</v>
      </c>
      <c r="AZ36" s="12">
        <v>0</v>
      </c>
      <c r="BA36" s="12" t="s">
        <v>5934</v>
      </c>
      <c r="BB36" s="12" t="s">
        <v>5935</v>
      </c>
      <c r="BC36" s="12" t="s">
        <v>6960</v>
      </c>
      <c r="BD36" s="12"/>
      <c r="BE36" s="12" t="s">
        <v>2291</v>
      </c>
      <c r="BF36" s="12"/>
      <c r="BG36" s="12"/>
      <c r="BH36" s="12"/>
      <c r="BI36" s="12"/>
      <c r="BJ36" s="12"/>
      <c r="BK36" s="12"/>
      <c r="BL36" s="12" t="s">
        <v>2292</v>
      </c>
      <c r="BM36" s="12" t="s">
        <v>2292</v>
      </c>
      <c r="BN36" s="12" t="s">
        <v>2292</v>
      </c>
      <c r="BO36" s="12" t="s">
        <v>2292</v>
      </c>
      <c r="BP36" s="12"/>
      <c r="BQ36" s="12"/>
      <c r="BR36" s="12"/>
      <c r="BS36" s="12"/>
      <c r="BT36" s="12"/>
      <c r="BU36" s="12"/>
      <c r="BV36" s="12"/>
      <c r="BW36" s="12" t="s">
        <v>5936</v>
      </c>
      <c r="BX36" s="12"/>
      <c r="BY36" s="13" t="s">
        <v>313</v>
      </c>
      <c r="BZ36" s="13" t="s">
        <v>6177</v>
      </c>
      <c r="CA36" s="13"/>
      <c r="CB36" s="13"/>
      <c r="CC36" s="13"/>
      <c r="CD36" s="13"/>
      <c r="CE36" s="13"/>
      <c r="CF36" s="13"/>
    </row>
    <row r="37" spans="1:84" ht="18.600000000000001" customHeight="1" x14ac:dyDescent="0.25">
      <c r="A37" s="35" t="s">
        <v>380</v>
      </c>
      <c r="B37" s="13" t="s">
        <v>315</v>
      </c>
      <c r="C37" s="3" t="s">
        <v>2535</v>
      </c>
      <c r="D37" s="12" t="s">
        <v>383</v>
      </c>
      <c r="E37" s="12" t="s">
        <v>382</v>
      </c>
      <c r="F37" s="12" t="s">
        <v>4079</v>
      </c>
      <c r="G37" s="25">
        <v>0</v>
      </c>
      <c r="H37" s="25">
        <v>0</v>
      </c>
      <c r="I37" s="25">
        <v>0</v>
      </c>
      <c r="J37" s="25">
        <v>0</v>
      </c>
      <c r="K37" s="25">
        <v>0</v>
      </c>
      <c r="L37" s="25">
        <v>0</v>
      </c>
      <c r="M37" s="25">
        <v>0</v>
      </c>
      <c r="N37" s="31">
        <v>0</v>
      </c>
      <c r="O37" s="25">
        <v>0</v>
      </c>
      <c r="P37" s="25">
        <v>0</v>
      </c>
      <c r="Q37" s="25">
        <v>0</v>
      </c>
      <c r="R37" s="25">
        <v>0</v>
      </c>
      <c r="S37" s="25">
        <v>0</v>
      </c>
      <c r="T37" s="25">
        <v>0</v>
      </c>
      <c r="U37" s="61">
        <v>0</v>
      </c>
      <c r="V37" s="59"/>
      <c r="W37" s="12" t="s">
        <v>3926</v>
      </c>
      <c r="X37" s="12" t="s">
        <v>3926</v>
      </c>
      <c r="Y37" s="12" t="s">
        <v>3926</v>
      </c>
      <c r="Z37" s="12" t="s">
        <v>3926</v>
      </c>
      <c r="AA37" s="12" t="s">
        <v>3926</v>
      </c>
      <c r="AB37" s="25" t="s">
        <v>3927</v>
      </c>
      <c r="AC37" s="25">
        <v>0</v>
      </c>
      <c r="AD37" s="25">
        <v>0</v>
      </c>
      <c r="AE37" s="25">
        <v>0</v>
      </c>
      <c r="AF37" s="25">
        <v>0</v>
      </c>
      <c r="AG37" s="25">
        <v>0</v>
      </c>
      <c r="AH37" s="25">
        <v>0</v>
      </c>
      <c r="AI37" s="12">
        <v>0</v>
      </c>
      <c r="AJ37" s="25">
        <v>6057</v>
      </c>
      <c r="AK37" s="25">
        <v>1581</v>
      </c>
      <c r="AL37" s="33">
        <v>0.35320000000000001</v>
      </c>
      <c r="AM37" s="3" t="s">
        <v>2535</v>
      </c>
      <c r="AN37" s="12" t="s">
        <v>382</v>
      </c>
      <c r="AO37" s="12" t="s">
        <v>382</v>
      </c>
      <c r="AP37" s="12" t="str">
        <f>"1051369518213551"</f>
        <v>1051369518213551</v>
      </c>
      <c r="AQ37" s="12" t="s">
        <v>383</v>
      </c>
      <c r="AR37" s="12"/>
      <c r="AS37" s="12" t="s">
        <v>384</v>
      </c>
      <c r="AT37" s="12"/>
      <c r="AU37" s="12" t="s">
        <v>324</v>
      </c>
      <c r="AV37" s="12" t="s">
        <v>5731</v>
      </c>
      <c r="AW37" s="12"/>
      <c r="AX37" s="12">
        <v>387</v>
      </c>
      <c r="AY37" s="12">
        <v>13</v>
      </c>
      <c r="AZ37" s="12">
        <v>0</v>
      </c>
      <c r="BA37" s="12" t="s">
        <v>385</v>
      </c>
      <c r="BB37" s="12" t="s">
        <v>6606</v>
      </c>
      <c r="BC37" s="12" t="s">
        <v>6607</v>
      </c>
      <c r="BD37" s="12"/>
      <c r="BE37" s="12" t="s">
        <v>2291</v>
      </c>
      <c r="BF37" s="12"/>
      <c r="BG37" s="12"/>
      <c r="BH37" s="12"/>
      <c r="BI37" s="12"/>
      <c r="BJ37" s="12"/>
      <c r="BK37" s="12"/>
      <c r="BL37" s="12" t="s">
        <v>2292</v>
      </c>
      <c r="BM37" s="12" t="s">
        <v>2292</v>
      </c>
      <c r="BN37" s="12" t="s">
        <v>2292</v>
      </c>
      <c r="BO37" s="12" t="s">
        <v>2292</v>
      </c>
      <c r="BP37" s="12" t="s">
        <v>386</v>
      </c>
      <c r="BQ37" s="12"/>
      <c r="BR37" s="12"/>
      <c r="BS37" s="12"/>
      <c r="BT37" s="12"/>
      <c r="BU37" s="12" t="s">
        <v>326</v>
      </c>
      <c r="BV37" s="12"/>
      <c r="BW37" s="12" t="s">
        <v>379</v>
      </c>
      <c r="BX37" s="12"/>
      <c r="BY37" s="18" t="s">
        <v>344</v>
      </c>
      <c r="BZ37" s="13" t="s">
        <v>6172</v>
      </c>
      <c r="CA37" s="13"/>
      <c r="CB37" s="13"/>
      <c r="CC37" s="13"/>
      <c r="CD37" s="13"/>
      <c r="CE37" s="13"/>
      <c r="CF37" s="13"/>
    </row>
    <row r="38" spans="1:84" ht="18.600000000000001" customHeight="1" x14ac:dyDescent="0.25">
      <c r="A38" s="35" t="s">
        <v>389</v>
      </c>
      <c r="B38" s="13" t="s">
        <v>390</v>
      </c>
      <c r="C38" s="3" t="s">
        <v>2918</v>
      </c>
      <c r="D38" s="12" t="s">
        <v>387</v>
      </c>
      <c r="E38" s="12" t="s">
        <v>2919</v>
      </c>
      <c r="F38" s="12" t="s">
        <v>4317</v>
      </c>
      <c r="G38" s="25">
        <v>17458</v>
      </c>
      <c r="H38" s="25">
        <v>11976</v>
      </c>
      <c r="I38" s="25">
        <v>3546</v>
      </c>
      <c r="J38" s="25">
        <v>1422</v>
      </c>
      <c r="K38" s="25">
        <v>0</v>
      </c>
      <c r="L38" s="25">
        <v>0</v>
      </c>
      <c r="M38" s="25">
        <v>0</v>
      </c>
      <c r="N38" s="31">
        <v>0</v>
      </c>
      <c r="O38" s="25">
        <v>0</v>
      </c>
      <c r="P38" s="25">
        <v>0</v>
      </c>
      <c r="Q38" s="25">
        <v>279</v>
      </c>
      <c r="R38" s="25">
        <v>30</v>
      </c>
      <c r="S38" s="25">
        <v>52</v>
      </c>
      <c r="T38" s="25">
        <v>52</v>
      </c>
      <c r="U38" s="61">
        <v>101</v>
      </c>
      <c r="V38" s="58">
        <v>1.83E-2</v>
      </c>
      <c r="W38" s="33">
        <v>2.52E-2</v>
      </c>
      <c r="X38" s="33">
        <v>1.2E-2</v>
      </c>
      <c r="Y38" s="33">
        <v>6.4000000000000003E-3</v>
      </c>
      <c r="Z38" s="12" t="s">
        <v>3926</v>
      </c>
      <c r="AA38" s="33">
        <v>3.7000000000000002E-3</v>
      </c>
      <c r="AB38" s="25">
        <v>16</v>
      </c>
      <c r="AC38" s="25">
        <v>9</v>
      </c>
      <c r="AD38" s="25">
        <v>4</v>
      </c>
      <c r="AE38" s="25">
        <v>2</v>
      </c>
      <c r="AF38" s="25">
        <v>0</v>
      </c>
      <c r="AG38" s="25">
        <v>0</v>
      </c>
      <c r="AH38" s="25">
        <v>1</v>
      </c>
      <c r="AI38" s="12">
        <v>0.04</v>
      </c>
      <c r="AJ38" s="25">
        <v>66704</v>
      </c>
      <c r="AK38" s="25">
        <v>13165</v>
      </c>
      <c r="AL38" s="33">
        <v>0.24590000000000001</v>
      </c>
      <c r="AM38" s="3" t="s">
        <v>2918</v>
      </c>
      <c r="AN38" s="12" t="s">
        <v>2919</v>
      </c>
      <c r="AO38" s="12" t="s">
        <v>2919</v>
      </c>
      <c r="AP38" s="12" t="str">
        <f>"114309128646983"</f>
        <v>114309128646983</v>
      </c>
      <c r="AQ38" s="12" t="s">
        <v>387</v>
      </c>
      <c r="AR38" s="12" t="s">
        <v>388</v>
      </c>
      <c r="AS38" s="12"/>
      <c r="AT38" s="12"/>
      <c r="AU38" s="12" t="s">
        <v>319</v>
      </c>
      <c r="AV38" s="12"/>
      <c r="AW38" s="12"/>
      <c r="AX38" s="12">
        <v>0</v>
      </c>
      <c r="AY38" s="12">
        <v>422</v>
      </c>
      <c r="AZ38" s="12">
        <v>0</v>
      </c>
      <c r="BA38" s="12" t="s">
        <v>2920</v>
      </c>
      <c r="BB38" s="12"/>
      <c r="BC38" s="12" t="s">
        <v>7142</v>
      </c>
      <c r="BD38" s="12"/>
      <c r="BE38" s="12" t="s">
        <v>2291</v>
      </c>
      <c r="BF38" s="12"/>
      <c r="BG38" s="12"/>
      <c r="BH38" s="12"/>
      <c r="BI38" s="12"/>
      <c r="BJ38" s="12"/>
      <c r="BK38" s="12"/>
      <c r="BL38" s="12" t="s">
        <v>2292</v>
      </c>
      <c r="BM38" s="12" t="s">
        <v>2292</v>
      </c>
      <c r="BN38" s="12" t="s">
        <v>2292</v>
      </c>
      <c r="BO38" s="12" t="s">
        <v>2292</v>
      </c>
      <c r="BP38" s="12"/>
      <c r="BQ38" s="12"/>
      <c r="BR38" s="12"/>
      <c r="BS38" s="12"/>
      <c r="BT38" s="12"/>
      <c r="BU38" s="12"/>
      <c r="BV38" s="12"/>
      <c r="BW38" s="12"/>
      <c r="BX38" s="12"/>
      <c r="BY38" s="13" t="s">
        <v>313</v>
      </c>
      <c r="BZ38" s="13" t="s">
        <v>312</v>
      </c>
      <c r="CA38" s="13"/>
      <c r="CB38" s="13"/>
      <c r="CC38" s="13"/>
      <c r="CD38" s="13"/>
      <c r="CE38" s="13"/>
      <c r="CF38" s="13"/>
    </row>
    <row r="39" spans="1:84" ht="18.600000000000001" customHeight="1" x14ac:dyDescent="0.25">
      <c r="A39" s="60" t="s">
        <v>389</v>
      </c>
      <c r="B39" s="2" t="s">
        <v>315</v>
      </c>
      <c r="C39" s="3" t="s">
        <v>2927</v>
      </c>
      <c r="D39" s="12" t="s">
        <v>392</v>
      </c>
      <c r="E39" s="12" t="s">
        <v>391</v>
      </c>
      <c r="F39" s="12" t="s">
        <v>4322</v>
      </c>
      <c r="G39" s="25">
        <v>6665</v>
      </c>
      <c r="H39" s="25">
        <v>4596</v>
      </c>
      <c r="I39" s="25">
        <v>688</v>
      </c>
      <c r="J39" s="25">
        <v>1161</v>
      </c>
      <c r="K39" s="25">
        <v>1505</v>
      </c>
      <c r="L39" s="25">
        <v>0</v>
      </c>
      <c r="M39" s="25">
        <v>1505</v>
      </c>
      <c r="N39" s="31">
        <v>1</v>
      </c>
      <c r="O39" s="25">
        <v>0</v>
      </c>
      <c r="P39" s="25">
        <v>0</v>
      </c>
      <c r="Q39" s="25">
        <v>48</v>
      </c>
      <c r="R39" s="25">
        <v>25</v>
      </c>
      <c r="S39" s="25">
        <v>105</v>
      </c>
      <c r="T39" s="25">
        <v>19</v>
      </c>
      <c r="U39" s="61">
        <v>23</v>
      </c>
      <c r="V39" s="58">
        <v>1.4E-3</v>
      </c>
      <c r="W39" s="33">
        <v>2.0999999999999999E-3</v>
      </c>
      <c r="X39" s="33">
        <v>1.2999999999999999E-3</v>
      </c>
      <c r="Y39" s="33">
        <v>2.0000000000000001E-4</v>
      </c>
      <c r="Z39" s="33">
        <v>5.9999999999999995E-4</v>
      </c>
      <c r="AA39" s="33">
        <v>1E-4</v>
      </c>
      <c r="AB39" s="25">
        <v>232</v>
      </c>
      <c r="AC39" s="25">
        <v>31</v>
      </c>
      <c r="AD39" s="25">
        <v>191</v>
      </c>
      <c r="AE39" s="25">
        <v>4</v>
      </c>
      <c r="AF39" s="25">
        <v>3</v>
      </c>
      <c r="AG39" s="25">
        <v>0</v>
      </c>
      <c r="AH39" s="25">
        <v>3</v>
      </c>
      <c r="AI39" s="12">
        <v>0.53</v>
      </c>
      <c r="AJ39" s="25">
        <v>21184</v>
      </c>
      <c r="AK39" s="25">
        <v>1585</v>
      </c>
      <c r="AL39" s="33">
        <v>8.09E-2</v>
      </c>
      <c r="AM39" s="3" t="s">
        <v>2927</v>
      </c>
      <c r="AN39" s="12" t="s">
        <v>391</v>
      </c>
      <c r="AO39" s="12" t="s">
        <v>391</v>
      </c>
      <c r="AP39" s="12" t="str">
        <f>"602410409783055"</f>
        <v>602410409783055</v>
      </c>
      <c r="AQ39" s="12" t="s">
        <v>392</v>
      </c>
      <c r="AR39" s="12" t="s">
        <v>393</v>
      </c>
      <c r="AS39" s="12" t="s">
        <v>394</v>
      </c>
      <c r="AT39" s="12"/>
      <c r="AU39" s="12" t="s">
        <v>324</v>
      </c>
      <c r="AV39" s="12" t="s">
        <v>5731</v>
      </c>
      <c r="AW39" s="12"/>
      <c r="AX39" s="12">
        <v>13387</v>
      </c>
      <c r="AY39" s="12">
        <v>66</v>
      </c>
      <c r="AZ39" s="12">
        <v>13387</v>
      </c>
      <c r="BA39" s="12" t="s">
        <v>395</v>
      </c>
      <c r="BB39" s="12" t="s">
        <v>7157</v>
      </c>
      <c r="BC39" s="12" t="s">
        <v>7158</v>
      </c>
      <c r="BD39" s="12"/>
      <c r="BE39" s="12" t="s">
        <v>2291</v>
      </c>
      <c r="BF39" s="12"/>
      <c r="BG39" s="12"/>
      <c r="BH39" s="12"/>
      <c r="BI39" s="12"/>
      <c r="BJ39" s="12"/>
      <c r="BK39" s="12"/>
      <c r="BL39" s="12" t="s">
        <v>2292</v>
      </c>
      <c r="BM39" s="12" t="s">
        <v>2292</v>
      </c>
      <c r="BN39" s="12" t="s">
        <v>2292</v>
      </c>
      <c r="BO39" s="12" t="s">
        <v>2291</v>
      </c>
      <c r="BP39" s="12"/>
      <c r="BQ39" s="12"/>
      <c r="BR39" s="12"/>
      <c r="BS39" s="12"/>
      <c r="BT39" s="12">
        <v>24381555667</v>
      </c>
      <c r="BU39" s="12" t="s">
        <v>326</v>
      </c>
      <c r="BV39" s="12"/>
      <c r="BW39" s="12" t="s">
        <v>5596</v>
      </c>
      <c r="BX39" s="12"/>
      <c r="BY39" s="13" t="s">
        <v>313</v>
      </c>
      <c r="BZ39" s="13" t="s">
        <v>6168</v>
      </c>
      <c r="CA39" s="13" t="s">
        <v>6170</v>
      </c>
      <c r="CB39" s="13" t="s">
        <v>312</v>
      </c>
      <c r="CC39" s="13"/>
      <c r="CD39" s="13" t="s">
        <v>6198</v>
      </c>
      <c r="CE39" s="13"/>
      <c r="CF39" s="13"/>
    </row>
    <row r="40" spans="1:84" ht="18.600000000000001" customHeight="1" x14ac:dyDescent="0.25">
      <c r="A40" s="60" t="s">
        <v>11</v>
      </c>
      <c r="B40" s="2" t="s">
        <v>396</v>
      </c>
      <c r="C40" s="3" t="s">
        <v>2835</v>
      </c>
      <c r="D40" s="12" t="s">
        <v>2283</v>
      </c>
      <c r="E40" s="12" t="s">
        <v>2836</v>
      </c>
      <c r="F40" s="12" t="s">
        <v>4251</v>
      </c>
      <c r="G40" s="25">
        <v>98947</v>
      </c>
      <c r="H40" s="25">
        <v>62247</v>
      </c>
      <c r="I40" s="25">
        <v>7943</v>
      </c>
      <c r="J40" s="25">
        <v>23908</v>
      </c>
      <c r="K40" s="25">
        <v>47431</v>
      </c>
      <c r="L40" s="25">
        <v>76710</v>
      </c>
      <c r="M40" s="25">
        <v>124141</v>
      </c>
      <c r="N40" s="31">
        <v>0.38</v>
      </c>
      <c r="O40" s="25">
        <v>3218</v>
      </c>
      <c r="P40" s="25">
        <v>18552</v>
      </c>
      <c r="Q40" s="25">
        <v>4002</v>
      </c>
      <c r="R40" s="25">
        <v>158</v>
      </c>
      <c r="S40" s="25">
        <v>86</v>
      </c>
      <c r="T40" s="25">
        <v>549</v>
      </c>
      <c r="U40" s="61">
        <v>46</v>
      </c>
      <c r="V40" s="58">
        <v>9.4000000000000004E-3</v>
      </c>
      <c r="W40" s="33">
        <v>9.4000000000000004E-3</v>
      </c>
      <c r="X40" s="12" t="s">
        <v>3926</v>
      </c>
      <c r="Y40" s="33">
        <v>8.5000000000000006E-3</v>
      </c>
      <c r="Z40" s="33">
        <v>1.5299999999999999E-2</v>
      </c>
      <c r="AA40" s="12" t="s">
        <v>3926</v>
      </c>
      <c r="AB40" s="25">
        <v>172</v>
      </c>
      <c r="AC40" s="25">
        <v>148</v>
      </c>
      <c r="AD40" s="25">
        <v>0</v>
      </c>
      <c r="AE40" s="25">
        <v>16</v>
      </c>
      <c r="AF40" s="25">
        <v>7</v>
      </c>
      <c r="AG40" s="25">
        <v>1</v>
      </c>
      <c r="AH40" s="25">
        <v>0</v>
      </c>
      <c r="AI40" s="12">
        <v>0.39</v>
      </c>
      <c r="AJ40" s="25">
        <v>67585</v>
      </c>
      <c r="AK40" s="25">
        <v>14656</v>
      </c>
      <c r="AL40" s="33">
        <v>0.27689999999999998</v>
      </c>
      <c r="AM40" s="3" t="s">
        <v>2835</v>
      </c>
      <c r="AN40" s="12" t="s">
        <v>2836</v>
      </c>
      <c r="AO40" s="12" t="s">
        <v>2836</v>
      </c>
      <c r="AP40" s="12" t="str">
        <f>"174051195978595"</f>
        <v>174051195978595</v>
      </c>
      <c r="AQ40" s="12" t="s">
        <v>2283</v>
      </c>
      <c r="AR40" s="12" t="s">
        <v>3238</v>
      </c>
      <c r="AS40" s="12" t="s">
        <v>3239</v>
      </c>
      <c r="AT40" s="12"/>
      <c r="AU40" s="12" t="s">
        <v>309</v>
      </c>
      <c r="AV40" s="12"/>
      <c r="AW40" s="12"/>
      <c r="AX40" s="12">
        <v>0</v>
      </c>
      <c r="AY40" s="12">
        <v>2827</v>
      </c>
      <c r="AZ40" s="12">
        <v>0</v>
      </c>
      <c r="BA40" s="12" t="s">
        <v>252</v>
      </c>
      <c r="BB40" s="12"/>
      <c r="BC40" s="12" t="s">
        <v>7001</v>
      </c>
      <c r="BD40" s="12"/>
      <c r="BE40" s="12" t="s">
        <v>2291</v>
      </c>
      <c r="BF40" s="12"/>
      <c r="BG40" s="12"/>
      <c r="BH40" s="12"/>
      <c r="BI40" s="12"/>
      <c r="BJ40" s="12"/>
      <c r="BK40" s="12"/>
      <c r="BL40" s="12" t="s">
        <v>2292</v>
      </c>
      <c r="BM40" s="12" t="s">
        <v>2292</v>
      </c>
      <c r="BN40" s="12" t="s">
        <v>2292</v>
      </c>
      <c r="BO40" s="12" t="s">
        <v>2291</v>
      </c>
      <c r="BP40" s="12"/>
      <c r="BQ40" s="12"/>
      <c r="BR40" s="12"/>
      <c r="BS40" s="12"/>
      <c r="BT40" s="12"/>
      <c r="BU40" s="12"/>
      <c r="BV40" s="12"/>
      <c r="BW40" s="12"/>
      <c r="BX40" s="12"/>
      <c r="BY40" s="13" t="s">
        <v>313</v>
      </c>
      <c r="BZ40" s="13" t="s">
        <v>6170</v>
      </c>
      <c r="CA40" s="13" t="s">
        <v>6170</v>
      </c>
      <c r="CB40" s="13" t="s">
        <v>312</v>
      </c>
      <c r="CC40" s="13"/>
      <c r="CD40" s="13" t="s">
        <v>6198</v>
      </c>
      <c r="CE40" s="13"/>
      <c r="CF40" s="13"/>
    </row>
    <row r="41" spans="1:84" ht="18.600000000000001" customHeight="1" x14ac:dyDescent="0.25">
      <c r="A41" s="60" t="s">
        <v>11</v>
      </c>
      <c r="B41" s="2" t="s">
        <v>4994</v>
      </c>
      <c r="C41" s="10" t="s">
        <v>4995</v>
      </c>
      <c r="D41" s="12" t="s">
        <v>5175</v>
      </c>
      <c r="E41" s="12"/>
      <c r="F41" s="12" t="s">
        <v>5176</v>
      </c>
      <c r="G41" s="25">
        <v>0</v>
      </c>
      <c r="H41" s="25">
        <v>0</v>
      </c>
      <c r="I41" s="25">
        <v>0</v>
      </c>
      <c r="J41" s="25">
        <v>0</v>
      </c>
      <c r="K41" s="25">
        <v>0</v>
      </c>
      <c r="L41" s="25">
        <v>0</v>
      </c>
      <c r="M41" s="25">
        <v>0</v>
      </c>
      <c r="N41" s="31">
        <v>0</v>
      </c>
      <c r="O41" s="25">
        <v>0</v>
      </c>
      <c r="P41" s="25">
        <v>0</v>
      </c>
      <c r="Q41" s="25">
        <v>0</v>
      </c>
      <c r="R41" s="25">
        <v>0</v>
      </c>
      <c r="S41" s="25">
        <v>0</v>
      </c>
      <c r="T41" s="25">
        <v>0</v>
      </c>
      <c r="U41" s="61">
        <v>0</v>
      </c>
      <c r="V41" s="59"/>
      <c r="W41" s="12" t="s">
        <v>3926</v>
      </c>
      <c r="X41" s="12" t="s">
        <v>3926</v>
      </c>
      <c r="Y41" s="12" t="s">
        <v>3926</v>
      </c>
      <c r="Z41" s="12" t="s">
        <v>3926</v>
      </c>
      <c r="AA41" s="12" t="s">
        <v>3926</v>
      </c>
      <c r="AB41" s="25" t="s">
        <v>3927</v>
      </c>
      <c r="AC41" s="25">
        <v>0</v>
      </c>
      <c r="AD41" s="25">
        <v>0</v>
      </c>
      <c r="AE41" s="25">
        <v>0</v>
      </c>
      <c r="AF41" s="25">
        <v>0</v>
      </c>
      <c r="AG41" s="25">
        <v>0</v>
      </c>
      <c r="AH41" s="25">
        <v>0</v>
      </c>
      <c r="AI41" s="12">
        <v>0</v>
      </c>
      <c r="AJ41" s="25">
        <v>2932</v>
      </c>
      <c r="AK41" s="25">
        <v>0</v>
      </c>
      <c r="AL41" s="31">
        <v>0</v>
      </c>
      <c r="AM41" s="10" t="s">
        <v>4995</v>
      </c>
      <c r="AN41" s="12" t="s">
        <v>5212</v>
      </c>
      <c r="AO41" s="12"/>
      <c r="AP41" s="12" t="str">
        <f>"1018182241561855"</f>
        <v>1018182241561855</v>
      </c>
      <c r="AQ41" s="12" t="s">
        <v>5175</v>
      </c>
      <c r="AR41" s="12" t="s">
        <v>5213</v>
      </c>
      <c r="AS41" s="12" t="s">
        <v>5214</v>
      </c>
      <c r="AT41" s="12"/>
      <c r="AU41" s="12" t="s">
        <v>309</v>
      </c>
      <c r="AV41" s="12"/>
      <c r="AW41" s="12"/>
      <c r="AX41" s="12">
        <v>0</v>
      </c>
      <c r="AY41" s="12">
        <v>2</v>
      </c>
      <c r="AZ41" s="12">
        <v>0</v>
      </c>
      <c r="BA41" s="12" t="s">
        <v>5215</v>
      </c>
      <c r="BB41" s="12"/>
      <c r="BC41" s="12" t="s">
        <v>6258</v>
      </c>
      <c r="BD41" s="12"/>
      <c r="BE41" s="12" t="s">
        <v>2291</v>
      </c>
      <c r="BF41" s="12"/>
      <c r="BG41" s="12"/>
      <c r="BH41" s="12"/>
      <c r="BI41" s="12"/>
      <c r="BJ41" s="12"/>
      <c r="BK41" s="12"/>
      <c r="BL41" s="12" t="s">
        <v>2292</v>
      </c>
      <c r="BM41" s="12" t="s">
        <v>2292</v>
      </c>
      <c r="BN41" s="12" t="s">
        <v>2292</v>
      </c>
      <c r="BO41" s="12" t="s">
        <v>2292</v>
      </c>
      <c r="BP41" s="12"/>
      <c r="BQ41" s="12"/>
      <c r="BR41" s="12"/>
      <c r="BS41" s="12"/>
      <c r="BT41" s="12"/>
      <c r="BU41" s="12"/>
      <c r="BV41" s="12"/>
      <c r="BW41" s="12"/>
      <c r="BX41" s="12"/>
      <c r="BY41" s="18" t="s">
        <v>344</v>
      </c>
      <c r="BZ41" s="13" t="s">
        <v>6172</v>
      </c>
      <c r="CA41" s="13" t="s">
        <v>6170</v>
      </c>
      <c r="CB41" s="13" t="s">
        <v>6197</v>
      </c>
      <c r="CC41" s="13"/>
      <c r="CD41" s="13" t="s">
        <v>6198</v>
      </c>
      <c r="CE41" s="13"/>
      <c r="CF41" s="13"/>
    </row>
    <row r="42" spans="1:84" ht="18.600000000000001" customHeight="1" x14ac:dyDescent="0.25">
      <c r="A42" s="60" t="s">
        <v>12</v>
      </c>
      <c r="B42" s="2" t="s">
        <v>3154</v>
      </c>
      <c r="C42" s="3" t="s">
        <v>2303</v>
      </c>
      <c r="D42" s="12" t="s">
        <v>398</v>
      </c>
      <c r="E42" s="12" t="s">
        <v>397</v>
      </c>
      <c r="F42" s="12" t="s">
        <v>3938</v>
      </c>
      <c r="G42" s="25">
        <v>6702063</v>
      </c>
      <c r="H42" s="25">
        <v>5047564</v>
      </c>
      <c r="I42" s="25">
        <v>589525</v>
      </c>
      <c r="J42" s="25">
        <v>421440</v>
      </c>
      <c r="K42" s="25">
        <v>6142134</v>
      </c>
      <c r="L42" s="25">
        <v>2189539</v>
      </c>
      <c r="M42" s="25">
        <v>8331673</v>
      </c>
      <c r="N42" s="31">
        <v>0.74</v>
      </c>
      <c r="O42" s="25">
        <v>633620</v>
      </c>
      <c r="P42" s="25">
        <v>568281</v>
      </c>
      <c r="Q42" s="25">
        <v>439094</v>
      </c>
      <c r="R42" s="25">
        <v>15711</v>
      </c>
      <c r="S42" s="25">
        <v>157269</v>
      </c>
      <c r="T42" s="25">
        <v>18387</v>
      </c>
      <c r="U42" s="61">
        <v>13037</v>
      </c>
      <c r="V42" s="58">
        <v>1.6000000000000001E-3</v>
      </c>
      <c r="W42" s="33">
        <v>3.0000000000000001E-3</v>
      </c>
      <c r="X42" s="33">
        <v>5.0000000000000001E-4</v>
      </c>
      <c r="Y42" s="33">
        <v>1.1999999999999999E-3</v>
      </c>
      <c r="Z42" s="33">
        <v>2E-3</v>
      </c>
      <c r="AA42" s="12" t="s">
        <v>3926</v>
      </c>
      <c r="AB42" s="25">
        <v>592</v>
      </c>
      <c r="AC42" s="25">
        <v>112</v>
      </c>
      <c r="AD42" s="25">
        <v>2</v>
      </c>
      <c r="AE42" s="25">
        <v>414</v>
      </c>
      <c r="AF42" s="25">
        <v>59</v>
      </c>
      <c r="AG42" s="25">
        <v>5</v>
      </c>
      <c r="AH42" s="25">
        <v>0</v>
      </c>
      <c r="AI42" s="12">
        <v>1.35</v>
      </c>
      <c r="AJ42" s="25">
        <v>7204621</v>
      </c>
      <c r="AK42" s="25">
        <v>352500</v>
      </c>
      <c r="AL42" s="33">
        <v>5.1400000000000001E-2</v>
      </c>
      <c r="AM42" s="3" t="s">
        <v>2303</v>
      </c>
      <c r="AN42" s="12" t="s">
        <v>397</v>
      </c>
      <c r="AO42" s="12" t="s">
        <v>397</v>
      </c>
      <c r="AP42" s="12" t="str">
        <f>"854868407872833"</f>
        <v>854868407872833</v>
      </c>
      <c r="AQ42" s="12" t="s">
        <v>398</v>
      </c>
      <c r="AR42" s="12" t="s">
        <v>399</v>
      </c>
      <c r="AS42" s="12" t="s">
        <v>2304</v>
      </c>
      <c r="AT42" s="12" t="s">
        <v>2305</v>
      </c>
      <c r="AU42" s="12" t="s">
        <v>319</v>
      </c>
      <c r="AV42" s="12"/>
      <c r="AW42" s="12"/>
      <c r="AX42" s="12">
        <v>0</v>
      </c>
      <c r="AY42" s="12">
        <v>56872</v>
      </c>
      <c r="AZ42" s="12">
        <v>0</v>
      </c>
      <c r="BA42" s="12" t="s">
        <v>400</v>
      </c>
      <c r="BB42" s="12" t="s">
        <v>5736</v>
      </c>
      <c r="BC42" s="12" t="s">
        <v>6292</v>
      </c>
      <c r="BD42" s="12"/>
      <c r="BE42" s="12" t="s">
        <v>2291</v>
      </c>
      <c r="BF42" s="12"/>
      <c r="BG42" s="12"/>
      <c r="BH42" s="12"/>
      <c r="BI42" s="12"/>
      <c r="BJ42" s="12"/>
      <c r="BK42" s="12"/>
      <c r="BL42" s="12" t="s">
        <v>2292</v>
      </c>
      <c r="BM42" s="12" t="s">
        <v>2292</v>
      </c>
      <c r="BN42" s="12" t="s">
        <v>2292</v>
      </c>
      <c r="BO42" s="12" t="s">
        <v>2291</v>
      </c>
      <c r="BP42" s="12"/>
      <c r="BQ42" s="12"/>
      <c r="BR42" s="12"/>
      <c r="BS42" s="12"/>
      <c r="BT42" s="12"/>
      <c r="BU42" s="12"/>
      <c r="BV42" s="12"/>
      <c r="BW42" s="12" t="s">
        <v>401</v>
      </c>
      <c r="BX42" s="12"/>
      <c r="BY42" s="13" t="s">
        <v>313</v>
      </c>
      <c r="BZ42" s="13" t="s">
        <v>6170</v>
      </c>
      <c r="CA42" s="13" t="s">
        <v>6170</v>
      </c>
      <c r="CB42" s="13" t="s">
        <v>312</v>
      </c>
      <c r="CC42" s="13"/>
      <c r="CD42" s="13" t="s">
        <v>6198</v>
      </c>
      <c r="CE42" s="13"/>
      <c r="CF42" s="13"/>
    </row>
    <row r="43" spans="1:84" ht="18.600000000000001" customHeight="1" x14ac:dyDescent="0.25">
      <c r="A43" s="60" t="s">
        <v>12</v>
      </c>
      <c r="B43" s="2" t="s">
        <v>315</v>
      </c>
      <c r="C43" s="3" t="s">
        <v>2455</v>
      </c>
      <c r="D43" s="12" t="s">
        <v>402</v>
      </c>
      <c r="E43" s="12" t="s">
        <v>13</v>
      </c>
      <c r="F43" s="12" t="s">
        <v>4033</v>
      </c>
      <c r="G43" s="25">
        <v>28379</v>
      </c>
      <c r="H43" s="25">
        <v>18236</v>
      </c>
      <c r="I43" s="25">
        <v>5401</v>
      </c>
      <c r="J43" s="25">
        <v>4372</v>
      </c>
      <c r="K43" s="25">
        <v>0</v>
      </c>
      <c r="L43" s="25">
        <v>0</v>
      </c>
      <c r="M43" s="25">
        <v>0</v>
      </c>
      <c r="N43" s="31">
        <v>0</v>
      </c>
      <c r="O43" s="25">
        <v>5358</v>
      </c>
      <c r="P43" s="25">
        <v>0</v>
      </c>
      <c r="Q43" s="25">
        <v>212</v>
      </c>
      <c r="R43" s="25">
        <v>25</v>
      </c>
      <c r="S43" s="25">
        <v>54</v>
      </c>
      <c r="T43" s="25">
        <v>25</v>
      </c>
      <c r="U43" s="61">
        <v>54</v>
      </c>
      <c r="V43" s="58">
        <v>4.0000000000000002E-4</v>
      </c>
      <c r="W43" s="33">
        <v>4.0000000000000002E-4</v>
      </c>
      <c r="X43" s="33">
        <v>4.0000000000000002E-4</v>
      </c>
      <c r="Y43" s="33">
        <v>4.0000000000000002E-4</v>
      </c>
      <c r="Z43" s="12" t="s">
        <v>3926</v>
      </c>
      <c r="AA43" s="12" t="s">
        <v>3926</v>
      </c>
      <c r="AB43" s="25">
        <v>45</v>
      </c>
      <c r="AC43" s="25">
        <v>16</v>
      </c>
      <c r="AD43" s="25">
        <v>18</v>
      </c>
      <c r="AE43" s="25">
        <v>10</v>
      </c>
      <c r="AF43" s="25">
        <v>0</v>
      </c>
      <c r="AG43" s="25">
        <v>1</v>
      </c>
      <c r="AH43" s="25">
        <v>0</v>
      </c>
      <c r="AI43" s="12">
        <v>0.1</v>
      </c>
      <c r="AJ43" s="25">
        <v>1706059</v>
      </c>
      <c r="AK43" s="25">
        <v>61342</v>
      </c>
      <c r="AL43" s="33">
        <v>3.73E-2</v>
      </c>
      <c r="AM43" s="3" t="s">
        <v>2455</v>
      </c>
      <c r="AN43" s="12" t="s">
        <v>13</v>
      </c>
      <c r="AO43" s="12" t="s">
        <v>13</v>
      </c>
      <c r="AP43" s="12" t="str">
        <f>"172162876165023"</f>
        <v>172162876165023</v>
      </c>
      <c r="AQ43" s="12" t="s">
        <v>402</v>
      </c>
      <c r="AR43" s="12" t="s">
        <v>403</v>
      </c>
      <c r="AS43" s="12" t="s">
        <v>2456</v>
      </c>
      <c r="AT43" s="12"/>
      <c r="AU43" s="12" t="s">
        <v>324</v>
      </c>
      <c r="AV43" s="12" t="s">
        <v>5808</v>
      </c>
      <c r="AW43" s="12">
        <v>2004</v>
      </c>
      <c r="AX43" s="12">
        <v>2973</v>
      </c>
      <c r="AY43" s="12">
        <v>592</v>
      </c>
      <c r="AZ43" s="12">
        <v>0</v>
      </c>
      <c r="BA43" s="12" t="s">
        <v>404</v>
      </c>
      <c r="BB43" s="12" t="s">
        <v>6498</v>
      </c>
      <c r="BC43" s="12" t="s">
        <v>6499</v>
      </c>
      <c r="BD43" s="12"/>
      <c r="BE43" s="12" t="s">
        <v>2291</v>
      </c>
      <c r="BF43" s="12"/>
      <c r="BG43" s="12"/>
      <c r="BH43" s="12"/>
      <c r="BI43" s="12" t="s">
        <v>2457</v>
      </c>
      <c r="BJ43" s="12" t="s">
        <v>2458</v>
      </c>
      <c r="BK43" s="12"/>
      <c r="BL43" s="12" t="s">
        <v>2292</v>
      </c>
      <c r="BM43" s="12" t="s">
        <v>2292</v>
      </c>
      <c r="BN43" s="12" t="s">
        <v>2292</v>
      </c>
      <c r="BO43" s="12" t="s">
        <v>2292</v>
      </c>
      <c r="BP43" s="12" t="s">
        <v>3403</v>
      </c>
      <c r="BQ43" s="12"/>
      <c r="BR43" s="12"/>
      <c r="BS43" s="12"/>
      <c r="BT43" s="12">
        <v>19468</v>
      </c>
      <c r="BU43" s="12" t="s">
        <v>326</v>
      </c>
      <c r="BV43" s="12"/>
      <c r="BW43" s="12" t="s">
        <v>401</v>
      </c>
      <c r="BX43" s="12"/>
      <c r="BY43" s="13" t="s">
        <v>313</v>
      </c>
      <c r="BZ43" s="13" t="s">
        <v>6174</v>
      </c>
      <c r="CA43" s="13"/>
      <c r="CB43" s="13"/>
      <c r="CC43" s="13"/>
      <c r="CD43" s="13"/>
      <c r="CE43" s="13"/>
      <c r="CF43" s="13"/>
    </row>
    <row r="44" spans="1:84" ht="18.600000000000001" customHeight="1" x14ac:dyDescent="0.25">
      <c r="A44" s="60" t="s">
        <v>12</v>
      </c>
      <c r="B44" s="2" t="s">
        <v>409</v>
      </c>
      <c r="C44" s="3" t="s">
        <v>2290</v>
      </c>
      <c r="D44" s="12" t="s">
        <v>405</v>
      </c>
      <c r="E44" s="12"/>
      <c r="F44" s="12" t="s">
        <v>4447</v>
      </c>
      <c r="G44" s="25">
        <v>72668</v>
      </c>
      <c r="H44" s="25">
        <v>58856</v>
      </c>
      <c r="I44" s="25">
        <v>3779</v>
      </c>
      <c r="J44" s="25">
        <v>6338</v>
      </c>
      <c r="K44" s="25">
        <v>2113</v>
      </c>
      <c r="L44" s="25">
        <v>105</v>
      </c>
      <c r="M44" s="25">
        <v>2218</v>
      </c>
      <c r="N44" s="31">
        <v>0.95</v>
      </c>
      <c r="O44" s="25">
        <v>971</v>
      </c>
      <c r="P44" s="25">
        <v>0</v>
      </c>
      <c r="Q44" s="25">
        <v>3196</v>
      </c>
      <c r="R44" s="25">
        <v>105</v>
      </c>
      <c r="S44" s="25">
        <v>112</v>
      </c>
      <c r="T44" s="25">
        <v>169</v>
      </c>
      <c r="U44" s="61">
        <v>113</v>
      </c>
      <c r="V44" s="58">
        <v>4.0000000000000001E-3</v>
      </c>
      <c r="W44" s="33">
        <v>3.0000000000000001E-3</v>
      </c>
      <c r="X44" s="12" t="s">
        <v>3926</v>
      </c>
      <c r="Y44" s="33">
        <v>5.5999999999999999E-3</v>
      </c>
      <c r="Z44" s="33">
        <v>2.5000000000000001E-3</v>
      </c>
      <c r="AA44" s="33">
        <v>2.5000000000000001E-3</v>
      </c>
      <c r="AB44" s="25">
        <v>388</v>
      </c>
      <c r="AC44" s="25">
        <v>222</v>
      </c>
      <c r="AD44" s="25">
        <v>0</v>
      </c>
      <c r="AE44" s="25">
        <v>139</v>
      </c>
      <c r="AF44" s="25">
        <v>11</v>
      </c>
      <c r="AG44" s="25">
        <v>1</v>
      </c>
      <c r="AH44" s="25">
        <v>15</v>
      </c>
      <c r="AI44" s="12">
        <v>0.88</v>
      </c>
      <c r="AJ44" s="25">
        <v>54735</v>
      </c>
      <c r="AK44" s="25">
        <v>12188</v>
      </c>
      <c r="AL44" s="33">
        <v>0.28649999999999998</v>
      </c>
      <c r="AM44" s="3" t="s">
        <v>2290</v>
      </c>
      <c r="AN44" s="12" t="s">
        <v>5209</v>
      </c>
      <c r="AO44" s="12"/>
      <c r="AP44" s="12" t="str">
        <f>"1479684935601755"</f>
        <v>1479684935601755</v>
      </c>
      <c r="AQ44" s="12" t="s">
        <v>405</v>
      </c>
      <c r="AR44" s="12" t="s">
        <v>406</v>
      </c>
      <c r="AS44" s="12" t="s">
        <v>407</v>
      </c>
      <c r="AT44" s="12"/>
      <c r="AU44" s="12" t="s">
        <v>309</v>
      </c>
      <c r="AV44" s="12"/>
      <c r="AW44" s="12"/>
      <c r="AX44" s="12">
        <v>0</v>
      </c>
      <c r="AY44" s="12">
        <v>434</v>
      </c>
      <c r="AZ44" s="12">
        <v>0</v>
      </c>
      <c r="BA44" s="12" t="s">
        <v>408</v>
      </c>
      <c r="BB44" s="12"/>
      <c r="BC44" s="12" t="s">
        <v>6247</v>
      </c>
      <c r="BD44" s="12"/>
      <c r="BE44" s="12" t="s">
        <v>2291</v>
      </c>
      <c r="BF44" s="12"/>
      <c r="BG44" s="12"/>
      <c r="BH44" s="12"/>
      <c r="BI44" s="12"/>
      <c r="BJ44" s="12"/>
      <c r="BK44" s="12"/>
      <c r="BL44" s="12" t="s">
        <v>2292</v>
      </c>
      <c r="BM44" s="12" t="s">
        <v>2292</v>
      </c>
      <c r="BN44" s="12" t="s">
        <v>2292</v>
      </c>
      <c r="BO44" s="12" t="s">
        <v>2292</v>
      </c>
      <c r="BP44" s="12"/>
      <c r="BQ44" s="12"/>
      <c r="BR44" s="12"/>
      <c r="BS44" s="12"/>
      <c r="BT44" s="12"/>
      <c r="BU44" s="12"/>
      <c r="BV44" s="12"/>
      <c r="BW44" s="12"/>
      <c r="BX44" s="12"/>
      <c r="BY44" s="13" t="s">
        <v>313</v>
      </c>
      <c r="BZ44" s="13" t="s">
        <v>312</v>
      </c>
      <c r="CA44" s="13"/>
      <c r="CB44" s="13"/>
      <c r="CC44" s="13"/>
      <c r="CD44" s="13"/>
      <c r="CE44" s="13"/>
      <c r="CF44" s="13"/>
    </row>
    <row r="45" spans="1:84" ht="18.600000000000001" customHeight="1" x14ac:dyDescent="0.25">
      <c r="A45" s="60" t="s">
        <v>12</v>
      </c>
      <c r="B45" s="2" t="s">
        <v>335</v>
      </c>
      <c r="C45" s="3" t="s">
        <v>2706</v>
      </c>
      <c r="D45" s="12" t="s">
        <v>411</v>
      </c>
      <c r="E45" s="12" t="s">
        <v>410</v>
      </c>
      <c r="F45" s="12" t="s">
        <v>4178</v>
      </c>
      <c r="G45" s="25">
        <v>548753</v>
      </c>
      <c r="H45" s="25">
        <v>436411</v>
      </c>
      <c r="I45" s="25">
        <v>17284</v>
      </c>
      <c r="J45" s="25">
        <v>72257</v>
      </c>
      <c r="K45" s="25">
        <v>268662</v>
      </c>
      <c r="L45" s="25">
        <v>74543</v>
      </c>
      <c r="M45" s="25">
        <v>343205</v>
      </c>
      <c r="N45" s="31">
        <v>0.78</v>
      </c>
      <c r="O45" s="25">
        <v>15236</v>
      </c>
      <c r="P45" s="25">
        <v>0</v>
      </c>
      <c r="Q45" s="25">
        <v>16021</v>
      </c>
      <c r="R45" s="25">
        <v>1158</v>
      </c>
      <c r="S45" s="25">
        <v>2154</v>
      </c>
      <c r="T45" s="25">
        <v>2182</v>
      </c>
      <c r="U45" s="61">
        <v>1284</v>
      </c>
      <c r="V45" s="58">
        <v>2.9999999999999997E-4</v>
      </c>
      <c r="W45" s="33">
        <v>2.0000000000000001E-4</v>
      </c>
      <c r="X45" s="33">
        <v>2.0000000000000001E-4</v>
      </c>
      <c r="Y45" s="33">
        <v>2.9999999999999997E-4</v>
      </c>
      <c r="Z45" s="33">
        <v>2.0000000000000001E-4</v>
      </c>
      <c r="AA45" s="33">
        <v>2.0000000000000001E-4</v>
      </c>
      <c r="AB45" s="25">
        <v>1748</v>
      </c>
      <c r="AC45" s="25">
        <v>650</v>
      </c>
      <c r="AD45" s="25">
        <v>129</v>
      </c>
      <c r="AE45" s="25">
        <v>780</v>
      </c>
      <c r="AF45" s="25">
        <v>82</v>
      </c>
      <c r="AG45" s="25">
        <v>4</v>
      </c>
      <c r="AH45" s="25">
        <v>103</v>
      </c>
      <c r="AI45" s="12">
        <v>3.98</v>
      </c>
      <c r="AJ45" s="25">
        <v>1222629</v>
      </c>
      <c r="AK45" s="25">
        <v>106786</v>
      </c>
      <c r="AL45" s="33">
        <v>9.5699999999999993E-2</v>
      </c>
      <c r="AM45" s="3" t="s">
        <v>2706</v>
      </c>
      <c r="AN45" s="12" t="s">
        <v>410</v>
      </c>
      <c r="AO45" s="12" t="s">
        <v>410</v>
      </c>
      <c r="AP45" s="12" t="str">
        <f>"130027683735853"</f>
        <v>130027683735853</v>
      </c>
      <c r="AQ45" s="12" t="s">
        <v>411</v>
      </c>
      <c r="AR45" s="12" t="s">
        <v>2707</v>
      </c>
      <c r="AS45" s="12" t="s">
        <v>3619</v>
      </c>
      <c r="AT45" s="12"/>
      <c r="AU45" s="12" t="s">
        <v>324</v>
      </c>
      <c r="AV45" s="12" t="s">
        <v>5731</v>
      </c>
      <c r="AW45" s="12"/>
      <c r="AX45" s="12">
        <v>22</v>
      </c>
      <c r="AY45" s="12">
        <v>16334</v>
      </c>
      <c r="AZ45" s="12">
        <v>22</v>
      </c>
      <c r="BA45" s="12" t="s">
        <v>412</v>
      </c>
      <c r="BB45" s="12" t="s">
        <v>6829</v>
      </c>
      <c r="BC45" s="12" t="s">
        <v>6830</v>
      </c>
      <c r="BD45" s="12"/>
      <c r="BE45" s="12" t="s">
        <v>2291</v>
      </c>
      <c r="BF45" s="12"/>
      <c r="BG45" s="12"/>
      <c r="BH45" s="12"/>
      <c r="BI45" s="12"/>
      <c r="BJ45" s="12"/>
      <c r="BK45" s="12"/>
      <c r="BL45" s="12" t="s">
        <v>2292</v>
      </c>
      <c r="BM45" s="12" t="s">
        <v>2292</v>
      </c>
      <c r="BN45" s="12" t="s">
        <v>2292</v>
      </c>
      <c r="BO45" s="12" t="s">
        <v>2291</v>
      </c>
      <c r="BP45" s="12"/>
      <c r="BQ45" s="12"/>
      <c r="BR45" s="12"/>
      <c r="BS45" s="12"/>
      <c r="BT45" s="12" t="s">
        <v>413</v>
      </c>
      <c r="BU45" s="12" t="s">
        <v>326</v>
      </c>
      <c r="BV45" s="12"/>
      <c r="BW45" s="12" t="s">
        <v>414</v>
      </c>
      <c r="BX45" s="12"/>
      <c r="BY45" s="13" t="s">
        <v>313</v>
      </c>
      <c r="BZ45" s="13" t="s">
        <v>6170</v>
      </c>
      <c r="CA45" s="13" t="s">
        <v>6170</v>
      </c>
      <c r="CB45" s="13" t="s">
        <v>6197</v>
      </c>
      <c r="CC45" s="13"/>
      <c r="CD45" s="13" t="s">
        <v>6198</v>
      </c>
      <c r="CE45" s="13"/>
      <c r="CF45" s="13"/>
    </row>
    <row r="46" spans="1:84" ht="18.600000000000001" customHeight="1" x14ac:dyDescent="0.25">
      <c r="A46" s="60" t="s">
        <v>12</v>
      </c>
      <c r="B46" s="2" t="s">
        <v>335</v>
      </c>
      <c r="C46" s="3" t="s">
        <v>2708</v>
      </c>
      <c r="D46" s="12" t="s">
        <v>416</v>
      </c>
      <c r="E46" s="12" t="s">
        <v>415</v>
      </c>
      <c r="F46" s="12" t="s">
        <v>4179</v>
      </c>
      <c r="G46" s="25">
        <v>10247</v>
      </c>
      <c r="H46" s="25">
        <v>7573</v>
      </c>
      <c r="I46" s="25">
        <v>236</v>
      </c>
      <c r="J46" s="25">
        <v>1546</v>
      </c>
      <c r="K46" s="25">
        <v>1191</v>
      </c>
      <c r="L46" s="25">
        <v>561</v>
      </c>
      <c r="M46" s="25">
        <v>1752</v>
      </c>
      <c r="N46" s="31">
        <v>0.68</v>
      </c>
      <c r="O46" s="25">
        <v>144</v>
      </c>
      <c r="P46" s="25">
        <v>0</v>
      </c>
      <c r="Q46" s="25">
        <v>827</v>
      </c>
      <c r="R46" s="25">
        <v>38</v>
      </c>
      <c r="S46" s="25">
        <v>12</v>
      </c>
      <c r="T46" s="25">
        <v>12</v>
      </c>
      <c r="U46" s="61">
        <v>3</v>
      </c>
      <c r="V46" s="58">
        <v>1.1999999999999999E-3</v>
      </c>
      <c r="W46" s="33">
        <v>1.1999999999999999E-3</v>
      </c>
      <c r="X46" s="33">
        <v>1.4E-3</v>
      </c>
      <c r="Y46" s="33">
        <v>1.1999999999999999E-3</v>
      </c>
      <c r="Z46" s="33">
        <v>1E-3</v>
      </c>
      <c r="AA46" s="33">
        <v>6.9999999999999999E-4</v>
      </c>
      <c r="AB46" s="25">
        <v>642</v>
      </c>
      <c r="AC46" s="25">
        <v>298</v>
      </c>
      <c r="AD46" s="25">
        <v>38</v>
      </c>
      <c r="AE46" s="25">
        <v>280</v>
      </c>
      <c r="AF46" s="25">
        <v>13</v>
      </c>
      <c r="AG46" s="25">
        <v>1</v>
      </c>
      <c r="AH46" s="25">
        <v>12</v>
      </c>
      <c r="AI46" s="12">
        <v>1.46</v>
      </c>
      <c r="AJ46" s="25">
        <v>14961</v>
      </c>
      <c r="AK46" s="25">
        <v>4310</v>
      </c>
      <c r="AL46" s="33">
        <v>0.4047</v>
      </c>
      <c r="AM46" s="3" t="s">
        <v>2708</v>
      </c>
      <c r="AN46" s="12" t="s">
        <v>415</v>
      </c>
      <c r="AO46" s="12" t="s">
        <v>415</v>
      </c>
      <c r="AP46" s="12" t="str">
        <f>"1452664425061142"</f>
        <v>1452664425061142</v>
      </c>
      <c r="AQ46" s="12" t="s">
        <v>416</v>
      </c>
      <c r="AR46" s="12" t="s">
        <v>417</v>
      </c>
      <c r="AS46" s="12" t="s">
        <v>418</v>
      </c>
      <c r="AT46" s="12"/>
      <c r="AU46" s="12" t="s">
        <v>324</v>
      </c>
      <c r="AV46" s="12" t="s">
        <v>5731</v>
      </c>
      <c r="AW46" s="12"/>
      <c r="AX46" s="12">
        <v>92</v>
      </c>
      <c r="AY46" s="12">
        <v>190</v>
      </c>
      <c r="AZ46" s="12">
        <v>0</v>
      </c>
      <c r="BA46" s="12" t="s">
        <v>419</v>
      </c>
      <c r="BB46" s="12" t="s">
        <v>6831</v>
      </c>
      <c r="BC46" s="12" t="s">
        <v>6832</v>
      </c>
      <c r="BD46" s="12"/>
      <c r="BE46" s="12" t="s">
        <v>2291</v>
      </c>
      <c r="BF46" s="12"/>
      <c r="BG46" s="12"/>
      <c r="BH46" s="12"/>
      <c r="BI46" s="12"/>
      <c r="BJ46" s="12"/>
      <c r="BK46" s="12"/>
      <c r="BL46" s="12" t="s">
        <v>2292</v>
      </c>
      <c r="BM46" s="12" t="s">
        <v>2292</v>
      </c>
      <c r="BN46" s="12" t="s">
        <v>2292</v>
      </c>
      <c r="BO46" s="12" t="s">
        <v>2292</v>
      </c>
      <c r="BP46" s="12"/>
      <c r="BQ46" s="12"/>
      <c r="BR46" s="12"/>
      <c r="BS46" s="12"/>
      <c r="BT46" s="12" t="s">
        <v>413</v>
      </c>
      <c r="BU46" s="12" t="s">
        <v>326</v>
      </c>
      <c r="BV46" s="12"/>
      <c r="BW46" s="12" t="s">
        <v>414</v>
      </c>
      <c r="BX46" s="12"/>
      <c r="BY46" s="13" t="s">
        <v>313</v>
      </c>
      <c r="BZ46" s="13" t="s">
        <v>6170</v>
      </c>
      <c r="CA46" s="13" t="s">
        <v>6170</v>
      </c>
      <c r="CB46" s="13" t="s">
        <v>6201</v>
      </c>
      <c r="CC46" s="13"/>
      <c r="CD46" s="13" t="s">
        <v>6198</v>
      </c>
      <c r="CE46" s="13"/>
      <c r="CF46" s="13"/>
    </row>
    <row r="47" spans="1:84" ht="18.600000000000001" customHeight="1" x14ac:dyDescent="0.25">
      <c r="A47" s="35" t="s">
        <v>14</v>
      </c>
      <c r="B47" s="13" t="s">
        <v>314</v>
      </c>
      <c r="C47" s="3" t="s">
        <v>2822</v>
      </c>
      <c r="D47" s="12" t="s">
        <v>420</v>
      </c>
      <c r="E47" s="12"/>
      <c r="F47" s="12" t="s">
        <v>4488</v>
      </c>
      <c r="G47" s="25">
        <v>0</v>
      </c>
      <c r="H47" s="25">
        <v>0</v>
      </c>
      <c r="I47" s="25">
        <v>0</v>
      </c>
      <c r="J47" s="25">
        <v>0</v>
      </c>
      <c r="K47" s="25">
        <v>0</v>
      </c>
      <c r="L47" s="25">
        <v>0</v>
      </c>
      <c r="M47" s="25">
        <v>0</v>
      </c>
      <c r="N47" s="31">
        <v>0</v>
      </c>
      <c r="O47" s="25">
        <v>0</v>
      </c>
      <c r="P47" s="25">
        <v>0</v>
      </c>
      <c r="Q47" s="25">
        <v>0</v>
      </c>
      <c r="R47" s="25">
        <v>0</v>
      </c>
      <c r="S47" s="25">
        <v>0</v>
      </c>
      <c r="T47" s="25">
        <v>0</v>
      </c>
      <c r="U47" s="61">
        <v>0</v>
      </c>
      <c r="V47" s="59"/>
      <c r="W47" s="12" t="s">
        <v>3926</v>
      </c>
      <c r="X47" s="12" t="s">
        <v>3926</v>
      </c>
      <c r="Y47" s="12" t="s">
        <v>3926</v>
      </c>
      <c r="Z47" s="12" t="s">
        <v>3926</v>
      </c>
      <c r="AA47" s="12" t="s">
        <v>3926</v>
      </c>
      <c r="AB47" s="25" t="s">
        <v>3927</v>
      </c>
      <c r="AC47" s="25">
        <v>0</v>
      </c>
      <c r="AD47" s="25">
        <v>0</v>
      </c>
      <c r="AE47" s="25">
        <v>0</v>
      </c>
      <c r="AF47" s="25">
        <v>0</v>
      </c>
      <c r="AG47" s="25">
        <v>0</v>
      </c>
      <c r="AH47" s="25">
        <v>0</v>
      </c>
      <c r="AI47" s="12">
        <v>0</v>
      </c>
      <c r="AJ47" s="25">
        <v>18211</v>
      </c>
      <c r="AK47" s="25">
        <v>1467</v>
      </c>
      <c r="AL47" s="33">
        <v>8.7599999999999997E-2</v>
      </c>
      <c r="AM47" s="3" t="s">
        <v>2822</v>
      </c>
      <c r="AN47" s="12" t="s">
        <v>5395</v>
      </c>
      <c r="AO47" s="12"/>
      <c r="AP47" s="12" t="str">
        <f>"791067600945337"</f>
        <v>791067600945337</v>
      </c>
      <c r="AQ47" s="12" t="s">
        <v>420</v>
      </c>
      <c r="AR47" s="12"/>
      <c r="AS47" s="12" t="s">
        <v>421</v>
      </c>
      <c r="AT47" s="12"/>
      <c r="AU47" s="12" t="s">
        <v>324</v>
      </c>
      <c r="AV47" s="12"/>
      <c r="AW47" s="12"/>
      <c r="AX47" s="12">
        <v>0</v>
      </c>
      <c r="AY47" s="12">
        <v>7</v>
      </c>
      <c r="AZ47" s="12">
        <v>0</v>
      </c>
      <c r="BA47" s="12" t="s">
        <v>422</v>
      </c>
      <c r="BB47" s="12"/>
      <c r="BC47" s="12" t="s">
        <v>6983</v>
      </c>
      <c r="BD47" s="12"/>
      <c r="BE47" s="12" t="s">
        <v>2291</v>
      </c>
      <c r="BF47" s="12"/>
      <c r="BG47" s="12"/>
      <c r="BH47" s="12"/>
      <c r="BI47" s="12"/>
      <c r="BJ47" s="12"/>
      <c r="BK47" s="12"/>
      <c r="BL47" s="12" t="s">
        <v>2292</v>
      </c>
      <c r="BM47" s="12" t="s">
        <v>2292</v>
      </c>
      <c r="BN47" s="12" t="s">
        <v>2292</v>
      </c>
      <c r="BO47" s="12" t="s">
        <v>2292</v>
      </c>
      <c r="BP47" s="12"/>
      <c r="BQ47" s="12"/>
      <c r="BR47" s="12"/>
      <c r="BS47" s="12"/>
      <c r="BT47" s="12"/>
      <c r="BU47" s="12"/>
      <c r="BV47" s="12"/>
      <c r="BW47" s="12"/>
      <c r="BX47" s="12"/>
      <c r="BY47" s="18" t="s">
        <v>344</v>
      </c>
      <c r="BZ47" s="13" t="s">
        <v>6170</v>
      </c>
      <c r="CA47" s="13" t="s">
        <v>6170</v>
      </c>
      <c r="CB47" s="13" t="s">
        <v>312</v>
      </c>
      <c r="CC47" s="13"/>
      <c r="CD47" s="13" t="s">
        <v>6198</v>
      </c>
      <c r="CE47" s="13"/>
      <c r="CF47" s="13"/>
    </row>
    <row r="48" spans="1:84" ht="18.600000000000001" customHeight="1" x14ac:dyDescent="0.25">
      <c r="A48" s="60" t="s">
        <v>14</v>
      </c>
      <c r="B48" s="2" t="s">
        <v>423</v>
      </c>
      <c r="C48" s="3" t="s">
        <v>5690</v>
      </c>
      <c r="D48" s="12" t="s">
        <v>5414</v>
      </c>
      <c r="E48" s="12" t="s">
        <v>5691</v>
      </c>
      <c r="F48" s="12" t="s">
        <v>5710</v>
      </c>
      <c r="G48" s="25">
        <v>78720</v>
      </c>
      <c r="H48" s="25">
        <v>64588</v>
      </c>
      <c r="I48" s="25">
        <v>6551</v>
      </c>
      <c r="J48" s="25">
        <v>5797</v>
      </c>
      <c r="K48" s="25">
        <v>0</v>
      </c>
      <c r="L48" s="25">
        <v>0</v>
      </c>
      <c r="M48" s="25">
        <v>0</v>
      </c>
      <c r="N48" s="31">
        <v>0</v>
      </c>
      <c r="O48" s="25">
        <v>62797</v>
      </c>
      <c r="P48" s="25">
        <v>0</v>
      </c>
      <c r="Q48" s="25">
        <v>1101</v>
      </c>
      <c r="R48" s="25">
        <v>173</v>
      </c>
      <c r="S48" s="25">
        <v>311</v>
      </c>
      <c r="T48" s="25">
        <v>64</v>
      </c>
      <c r="U48" s="61">
        <v>134</v>
      </c>
      <c r="V48" s="58">
        <v>2.5000000000000001E-3</v>
      </c>
      <c r="W48" s="33">
        <v>2.5999999999999999E-3</v>
      </c>
      <c r="X48" s="33">
        <v>1.8E-3</v>
      </c>
      <c r="Y48" s="33">
        <v>9.5999999999999992E-3</v>
      </c>
      <c r="Z48" s="33">
        <v>1E-4</v>
      </c>
      <c r="AA48" s="12" t="s">
        <v>3926</v>
      </c>
      <c r="AB48" s="25">
        <v>253</v>
      </c>
      <c r="AC48" s="25">
        <v>196</v>
      </c>
      <c r="AD48" s="25">
        <v>24</v>
      </c>
      <c r="AE48" s="25">
        <v>6</v>
      </c>
      <c r="AF48" s="25">
        <v>2</v>
      </c>
      <c r="AG48" s="25">
        <v>25</v>
      </c>
      <c r="AH48" s="25">
        <v>0</v>
      </c>
      <c r="AI48" s="12">
        <v>0.57999999999999996</v>
      </c>
      <c r="AJ48" s="25">
        <v>130801</v>
      </c>
      <c r="AK48" s="25">
        <v>0</v>
      </c>
      <c r="AL48" s="31">
        <v>0</v>
      </c>
      <c r="AM48" s="3" t="s">
        <v>5690</v>
      </c>
      <c r="AN48" s="12" t="s">
        <v>5691</v>
      </c>
      <c r="AO48" s="12" t="s">
        <v>5691</v>
      </c>
      <c r="AP48" s="12" t="str">
        <f>"651051055001409"</f>
        <v>651051055001409</v>
      </c>
      <c r="AQ48" s="12" t="s">
        <v>5414</v>
      </c>
      <c r="AR48" s="12" t="s">
        <v>5415</v>
      </c>
      <c r="AS48" s="12" t="s">
        <v>5416</v>
      </c>
      <c r="AT48" s="12" t="s">
        <v>5417</v>
      </c>
      <c r="AU48" s="12" t="s">
        <v>424</v>
      </c>
      <c r="AV48" s="12"/>
      <c r="AW48" s="12"/>
      <c r="AX48" s="12">
        <v>0</v>
      </c>
      <c r="AY48" s="12">
        <v>312</v>
      </c>
      <c r="AZ48" s="12">
        <v>0</v>
      </c>
      <c r="BA48" s="12" t="s">
        <v>5965</v>
      </c>
      <c r="BB48" s="12" t="s">
        <v>7037</v>
      </c>
      <c r="BC48" s="12" t="s">
        <v>7038</v>
      </c>
      <c r="BD48" s="12" t="s">
        <v>5418</v>
      </c>
      <c r="BE48" s="12" t="s">
        <v>2291</v>
      </c>
      <c r="BF48" s="12"/>
      <c r="BG48" s="12"/>
      <c r="BH48" s="12"/>
      <c r="BI48" s="12" t="s">
        <v>5419</v>
      </c>
      <c r="BJ48" s="12"/>
      <c r="BK48" s="12"/>
      <c r="BL48" s="12" t="s">
        <v>2292</v>
      </c>
      <c r="BM48" s="12" t="s">
        <v>2292</v>
      </c>
      <c r="BN48" s="12" t="s">
        <v>2292</v>
      </c>
      <c r="BO48" s="12" t="s">
        <v>2291</v>
      </c>
      <c r="BP48" s="12"/>
      <c r="BQ48" s="12"/>
      <c r="BR48" s="12"/>
      <c r="BS48" s="12"/>
      <c r="BT48" s="12"/>
      <c r="BU48" s="12"/>
      <c r="BV48" s="12"/>
      <c r="BW48" s="12" t="s">
        <v>5420</v>
      </c>
      <c r="BX48" s="12"/>
      <c r="BY48" s="13" t="s">
        <v>313</v>
      </c>
      <c r="BZ48" s="13" t="s">
        <v>6170</v>
      </c>
      <c r="CA48" s="13" t="s">
        <v>6170</v>
      </c>
      <c r="CB48" s="13" t="s">
        <v>6202</v>
      </c>
      <c r="CC48" s="13" t="s">
        <v>6187</v>
      </c>
      <c r="CD48" s="13" t="s">
        <v>6195</v>
      </c>
      <c r="CE48" s="13"/>
      <c r="CF48" s="13"/>
    </row>
    <row r="49" spans="1:84" ht="18.600000000000001" customHeight="1" x14ac:dyDescent="0.25">
      <c r="A49" s="60" t="s">
        <v>14</v>
      </c>
      <c r="B49" s="2" t="s">
        <v>315</v>
      </c>
      <c r="C49" s="3" t="s">
        <v>3880</v>
      </c>
      <c r="D49" s="12" t="s">
        <v>3559</v>
      </c>
      <c r="E49" s="12"/>
      <c r="F49" s="12" t="s">
        <v>4466</v>
      </c>
      <c r="G49" s="25">
        <v>947415</v>
      </c>
      <c r="H49" s="25">
        <v>591033</v>
      </c>
      <c r="I49" s="25">
        <v>59252</v>
      </c>
      <c r="J49" s="25">
        <v>288816</v>
      </c>
      <c r="K49" s="25">
        <v>1193683</v>
      </c>
      <c r="L49" s="25">
        <v>387811</v>
      </c>
      <c r="M49" s="25">
        <v>1581494</v>
      </c>
      <c r="N49" s="31">
        <v>0.75</v>
      </c>
      <c r="O49" s="25">
        <v>118098</v>
      </c>
      <c r="P49" s="25">
        <v>0</v>
      </c>
      <c r="Q49" s="25">
        <v>4612</v>
      </c>
      <c r="R49" s="25">
        <v>1058</v>
      </c>
      <c r="S49" s="25">
        <v>1248</v>
      </c>
      <c r="T49" s="25">
        <v>580</v>
      </c>
      <c r="U49" s="61">
        <v>815</v>
      </c>
      <c r="V49" s="58">
        <v>5.0000000000000001E-4</v>
      </c>
      <c r="W49" s="33">
        <v>5.9999999999999995E-4</v>
      </c>
      <c r="X49" s="33">
        <v>5.0000000000000001E-4</v>
      </c>
      <c r="Y49" s="33">
        <v>1E-3</v>
      </c>
      <c r="Z49" s="33">
        <v>6.9999999999999999E-4</v>
      </c>
      <c r="AA49" s="33">
        <v>2.9999999999999997E-4</v>
      </c>
      <c r="AB49" s="25">
        <v>12121</v>
      </c>
      <c r="AC49" s="25">
        <v>11498</v>
      </c>
      <c r="AD49" s="25">
        <v>139</v>
      </c>
      <c r="AE49" s="25">
        <v>17</v>
      </c>
      <c r="AF49" s="25">
        <v>336</v>
      </c>
      <c r="AG49" s="25">
        <v>78</v>
      </c>
      <c r="AH49" s="25">
        <v>53</v>
      </c>
      <c r="AI49" s="12">
        <v>27.61</v>
      </c>
      <c r="AJ49" s="25">
        <v>187667</v>
      </c>
      <c r="AK49" s="25">
        <v>95567</v>
      </c>
      <c r="AL49" s="33">
        <v>1.0376000000000001</v>
      </c>
      <c r="AM49" s="3" t="s">
        <v>3880</v>
      </c>
      <c r="AN49" s="12" t="s">
        <v>5279</v>
      </c>
      <c r="AO49" s="12"/>
      <c r="AP49" s="12" t="str">
        <f>"349142568566343"</f>
        <v>349142568566343</v>
      </c>
      <c r="AQ49" s="12" t="s">
        <v>3559</v>
      </c>
      <c r="AR49" s="12" t="s">
        <v>3560</v>
      </c>
      <c r="AS49" s="12" t="s">
        <v>3561</v>
      </c>
      <c r="AT49" s="12"/>
      <c r="AU49" s="12" t="s">
        <v>324</v>
      </c>
      <c r="AV49" s="12"/>
      <c r="AW49" s="12" t="s">
        <v>3562</v>
      </c>
      <c r="AX49" s="12">
        <v>0</v>
      </c>
      <c r="AY49" s="12">
        <v>6852</v>
      </c>
      <c r="AZ49" s="12">
        <v>0</v>
      </c>
      <c r="BA49" s="12" t="s">
        <v>3563</v>
      </c>
      <c r="BB49" s="12" t="s">
        <v>5819</v>
      </c>
      <c r="BC49" s="12" t="s">
        <v>6542</v>
      </c>
      <c r="BD49" s="12"/>
      <c r="BE49" s="12" t="s">
        <v>2291</v>
      </c>
      <c r="BF49" s="12"/>
      <c r="BG49" s="12"/>
      <c r="BH49" s="12"/>
      <c r="BI49" s="12" t="s">
        <v>3564</v>
      </c>
      <c r="BJ49" s="12" t="s">
        <v>3565</v>
      </c>
      <c r="BK49" s="12"/>
      <c r="BL49" s="12" t="s">
        <v>2292</v>
      </c>
      <c r="BM49" s="12" t="s">
        <v>2292</v>
      </c>
      <c r="BN49" s="12" t="s">
        <v>2292</v>
      </c>
      <c r="BO49" s="12" t="s">
        <v>2291</v>
      </c>
      <c r="BP49" s="12" t="s">
        <v>3566</v>
      </c>
      <c r="BQ49" s="12"/>
      <c r="BR49" s="12"/>
      <c r="BS49" s="12"/>
      <c r="BT49" s="12"/>
      <c r="BU49" s="12"/>
      <c r="BV49" s="12" t="s">
        <v>3567</v>
      </c>
      <c r="BW49" s="12" t="s">
        <v>3568</v>
      </c>
      <c r="BX49" s="12"/>
      <c r="BY49" s="13" t="s">
        <v>313</v>
      </c>
      <c r="BZ49" s="13" t="s">
        <v>6173</v>
      </c>
      <c r="CA49" s="13"/>
      <c r="CB49" s="13"/>
      <c r="CC49" s="13"/>
      <c r="CD49" s="13"/>
      <c r="CE49" s="13" t="s">
        <v>6175</v>
      </c>
      <c r="CF49" s="13"/>
    </row>
    <row r="50" spans="1:84" ht="18.600000000000001" customHeight="1" x14ac:dyDescent="0.25">
      <c r="A50" s="60" t="s">
        <v>14</v>
      </c>
      <c r="B50" s="2" t="s">
        <v>3723</v>
      </c>
      <c r="C50" s="3" t="s">
        <v>3722</v>
      </c>
      <c r="D50" s="12" t="s">
        <v>3758</v>
      </c>
      <c r="E50" s="12" t="s">
        <v>3757</v>
      </c>
      <c r="F50" s="12" t="s">
        <v>4023</v>
      </c>
      <c r="G50" s="25">
        <v>98076</v>
      </c>
      <c r="H50" s="25">
        <v>78274</v>
      </c>
      <c r="I50" s="25">
        <v>5679</v>
      </c>
      <c r="J50" s="25">
        <v>12836</v>
      </c>
      <c r="K50" s="25">
        <v>181688</v>
      </c>
      <c r="L50" s="25">
        <v>116477</v>
      </c>
      <c r="M50" s="25">
        <v>298165</v>
      </c>
      <c r="N50" s="31">
        <v>0.61</v>
      </c>
      <c r="O50" s="25">
        <v>21367</v>
      </c>
      <c r="P50" s="25">
        <v>0</v>
      </c>
      <c r="Q50" s="25">
        <v>896</v>
      </c>
      <c r="R50" s="25">
        <v>166</v>
      </c>
      <c r="S50" s="25">
        <v>76</v>
      </c>
      <c r="T50" s="25">
        <v>79</v>
      </c>
      <c r="U50" s="61">
        <v>69</v>
      </c>
      <c r="V50" s="58">
        <v>3.7000000000000002E-3</v>
      </c>
      <c r="W50" s="33">
        <v>4.0000000000000001E-3</v>
      </c>
      <c r="X50" s="33">
        <v>1.1000000000000001E-3</v>
      </c>
      <c r="Y50" s="33">
        <v>9.1000000000000004E-3</v>
      </c>
      <c r="Z50" s="33">
        <v>3.3E-3</v>
      </c>
      <c r="AA50" s="33">
        <v>1E-3</v>
      </c>
      <c r="AB50" s="25">
        <v>268</v>
      </c>
      <c r="AC50" s="25">
        <v>185</v>
      </c>
      <c r="AD50" s="25">
        <v>28</v>
      </c>
      <c r="AE50" s="25">
        <v>7</v>
      </c>
      <c r="AF50" s="25">
        <v>35</v>
      </c>
      <c r="AG50" s="25">
        <v>12</v>
      </c>
      <c r="AH50" s="25">
        <v>1</v>
      </c>
      <c r="AI50" s="12">
        <v>0.61</v>
      </c>
      <c r="AJ50" s="25">
        <v>159533</v>
      </c>
      <c r="AK50" s="25">
        <v>112309</v>
      </c>
      <c r="AL50" s="33">
        <v>2.3782000000000001</v>
      </c>
      <c r="AM50" s="3" t="s">
        <v>3722</v>
      </c>
      <c r="AN50" s="12" t="s">
        <v>3757</v>
      </c>
      <c r="AO50" s="12" t="s">
        <v>3757</v>
      </c>
      <c r="AP50" s="12" t="str">
        <f>"1718310378413553"</f>
        <v>1718310378413553</v>
      </c>
      <c r="AQ50" s="12" t="s">
        <v>3758</v>
      </c>
      <c r="AR50" s="12"/>
      <c r="AS50" s="12" t="s">
        <v>424</v>
      </c>
      <c r="AT50" s="12"/>
      <c r="AU50" s="12" t="s">
        <v>424</v>
      </c>
      <c r="AV50" s="12"/>
      <c r="AW50" s="12"/>
      <c r="AX50" s="12">
        <v>0</v>
      </c>
      <c r="AY50" s="12">
        <v>4196</v>
      </c>
      <c r="AZ50" s="12">
        <v>0</v>
      </c>
      <c r="BA50" s="12" t="s">
        <v>3759</v>
      </c>
      <c r="BB50" s="12" t="s">
        <v>5805</v>
      </c>
      <c r="BC50" s="12" t="s">
        <v>6486</v>
      </c>
      <c r="BD50" s="12"/>
      <c r="BE50" s="12" t="s">
        <v>2291</v>
      </c>
      <c r="BF50" s="12"/>
      <c r="BG50" s="12"/>
      <c r="BH50" s="12"/>
      <c r="BI50" s="12"/>
      <c r="BJ50" s="12"/>
      <c r="BK50" s="12"/>
      <c r="BL50" s="12" t="s">
        <v>2292</v>
      </c>
      <c r="BM50" s="12" t="s">
        <v>2292</v>
      </c>
      <c r="BN50" s="12" t="s">
        <v>2292</v>
      </c>
      <c r="BO50" s="12" t="s">
        <v>2291</v>
      </c>
      <c r="BP50" s="12"/>
      <c r="BQ50" s="12"/>
      <c r="BR50" s="12" t="s">
        <v>3760</v>
      </c>
      <c r="BS50" s="12"/>
      <c r="BT50" s="12"/>
      <c r="BU50" s="12"/>
      <c r="BV50" s="12"/>
      <c r="BW50" s="12" t="s">
        <v>3761</v>
      </c>
      <c r="BX50" s="12"/>
      <c r="BY50" s="13" t="s">
        <v>313</v>
      </c>
      <c r="BZ50" s="13" t="s">
        <v>6171</v>
      </c>
      <c r="CA50" s="13" t="s">
        <v>6170</v>
      </c>
      <c r="CB50" s="13" t="s">
        <v>6200</v>
      </c>
      <c r="CC50" s="13"/>
      <c r="CD50" s="13" t="s">
        <v>6196</v>
      </c>
      <c r="CE50" s="13"/>
      <c r="CF50" s="13" t="s">
        <v>6178</v>
      </c>
    </row>
    <row r="51" spans="1:84" ht="18.600000000000001" customHeight="1" x14ac:dyDescent="0.25">
      <c r="A51" s="60" t="s">
        <v>14</v>
      </c>
      <c r="B51" s="2" t="s">
        <v>335</v>
      </c>
      <c r="C51" s="3" t="s">
        <v>2709</v>
      </c>
      <c r="D51" s="12" t="s">
        <v>426</v>
      </c>
      <c r="E51" s="12" t="s">
        <v>425</v>
      </c>
      <c r="F51" s="12" t="s">
        <v>4180</v>
      </c>
      <c r="G51" s="25">
        <v>177736</v>
      </c>
      <c r="H51" s="25">
        <v>130930</v>
      </c>
      <c r="I51" s="25">
        <v>9375</v>
      </c>
      <c r="J51" s="25">
        <v>34005</v>
      </c>
      <c r="K51" s="25">
        <v>446161</v>
      </c>
      <c r="L51" s="25">
        <v>260237</v>
      </c>
      <c r="M51" s="25">
        <v>706398</v>
      </c>
      <c r="N51" s="31">
        <v>0.63</v>
      </c>
      <c r="O51" s="25">
        <v>274282</v>
      </c>
      <c r="P51" s="25">
        <v>11857</v>
      </c>
      <c r="Q51" s="25">
        <v>2175</v>
      </c>
      <c r="R51" s="25">
        <v>301</v>
      </c>
      <c r="S51" s="25">
        <v>278</v>
      </c>
      <c r="T51" s="25">
        <v>331</v>
      </c>
      <c r="U51" s="61">
        <v>335</v>
      </c>
      <c r="V51" s="58">
        <v>4.0000000000000002E-4</v>
      </c>
      <c r="W51" s="33">
        <v>4.0000000000000002E-4</v>
      </c>
      <c r="X51" s="33">
        <v>2.9999999999999997E-4</v>
      </c>
      <c r="Y51" s="33">
        <v>4.0000000000000002E-4</v>
      </c>
      <c r="Z51" s="33">
        <v>8.0000000000000004E-4</v>
      </c>
      <c r="AA51" s="33">
        <v>2.0000000000000001E-4</v>
      </c>
      <c r="AB51" s="25">
        <v>1666</v>
      </c>
      <c r="AC51" s="25">
        <v>938</v>
      </c>
      <c r="AD51" s="25">
        <v>496</v>
      </c>
      <c r="AE51" s="25">
        <v>17</v>
      </c>
      <c r="AF51" s="25">
        <v>94</v>
      </c>
      <c r="AG51" s="25">
        <v>84</v>
      </c>
      <c r="AH51" s="25">
        <v>37</v>
      </c>
      <c r="AI51" s="12">
        <v>3.79</v>
      </c>
      <c r="AJ51" s="25">
        <v>288151</v>
      </c>
      <c r="AK51" s="25">
        <v>42468</v>
      </c>
      <c r="AL51" s="33">
        <v>0.1729</v>
      </c>
      <c r="AM51" s="3" t="s">
        <v>2709</v>
      </c>
      <c r="AN51" s="12" t="s">
        <v>425</v>
      </c>
      <c r="AO51" s="12" t="s">
        <v>425</v>
      </c>
      <c r="AP51" s="12" t="str">
        <f>"623401301020450"</f>
        <v>623401301020450</v>
      </c>
      <c r="AQ51" s="12" t="s">
        <v>426</v>
      </c>
      <c r="AR51" s="12" t="s">
        <v>427</v>
      </c>
      <c r="AS51" s="12" t="s">
        <v>428</v>
      </c>
      <c r="AT51" s="12"/>
      <c r="AU51" s="12" t="s">
        <v>324</v>
      </c>
      <c r="AV51" s="12" t="s">
        <v>5769</v>
      </c>
      <c r="AW51" s="12" t="s">
        <v>2710</v>
      </c>
      <c r="AX51" s="12">
        <v>987</v>
      </c>
      <c r="AY51" s="12">
        <v>2609</v>
      </c>
      <c r="AZ51" s="12">
        <v>987</v>
      </c>
      <c r="BA51" s="12" t="s">
        <v>429</v>
      </c>
      <c r="BB51" s="12" t="s">
        <v>6833</v>
      </c>
      <c r="BC51" s="12" t="s">
        <v>6834</v>
      </c>
      <c r="BD51" s="12"/>
      <c r="BE51" s="12" t="s">
        <v>2291</v>
      </c>
      <c r="BF51" s="12"/>
      <c r="BG51" s="12"/>
      <c r="BH51" s="12"/>
      <c r="BI51" s="12" t="s">
        <v>430</v>
      </c>
      <c r="BJ51" s="12" t="s">
        <v>2499</v>
      </c>
      <c r="BK51" s="12" t="s">
        <v>6835</v>
      </c>
      <c r="BL51" s="12" t="s">
        <v>2292</v>
      </c>
      <c r="BM51" s="12" t="s">
        <v>2292</v>
      </c>
      <c r="BN51" s="12" t="s">
        <v>2292</v>
      </c>
      <c r="BO51" s="12" t="s">
        <v>2291</v>
      </c>
      <c r="BP51" s="12" t="s">
        <v>2711</v>
      </c>
      <c r="BQ51" s="12"/>
      <c r="BR51" s="12"/>
      <c r="BS51" s="12"/>
      <c r="BT51" s="12" t="s">
        <v>2712</v>
      </c>
      <c r="BU51" s="12" t="s">
        <v>326</v>
      </c>
      <c r="BV51" s="12"/>
      <c r="BW51" s="12" t="s">
        <v>431</v>
      </c>
      <c r="BX51" s="12"/>
      <c r="BY51" s="13" t="s">
        <v>313</v>
      </c>
      <c r="BZ51" s="13" t="s">
        <v>6174</v>
      </c>
      <c r="CA51" s="13" t="s">
        <v>6170</v>
      </c>
      <c r="CB51" s="13" t="s">
        <v>6202</v>
      </c>
      <c r="CC51" s="13" t="s">
        <v>6187</v>
      </c>
      <c r="CD51" s="13" t="s">
        <v>6196</v>
      </c>
      <c r="CE51" s="13"/>
      <c r="CF51" s="13"/>
    </row>
    <row r="52" spans="1:84" ht="18.600000000000001" customHeight="1" x14ac:dyDescent="0.25">
      <c r="A52" s="60" t="s">
        <v>15</v>
      </c>
      <c r="B52" s="2" t="s">
        <v>436</v>
      </c>
      <c r="C52" s="3" t="s">
        <v>2302</v>
      </c>
      <c r="D52" s="12" t="s">
        <v>432</v>
      </c>
      <c r="E52" s="12" t="s">
        <v>433</v>
      </c>
      <c r="F52" s="12" t="s">
        <v>3935</v>
      </c>
      <c r="G52" s="25">
        <v>118001</v>
      </c>
      <c r="H52" s="25">
        <v>96366</v>
      </c>
      <c r="I52" s="25">
        <v>8773</v>
      </c>
      <c r="J52" s="25">
        <v>10232</v>
      </c>
      <c r="K52" s="25">
        <v>0</v>
      </c>
      <c r="L52" s="25">
        <v>0</v>
      </c>
      <c r="M52" s="25">
        <v>0</v>
      </c>
      <c r="N52" s="31">
        <v>0</v>
      </c>
      <c r="O52" s="25">
        <v>0</v>
      </c>
      <c r="P52" s="25">
        <v>0</v>
      </c>
      <c r="Q52" s="25">
        <v>1966</v>
      </c>
      <c r="R52" s="25">
        <v>103</v>
      </c>
      <c r="S52" s="25">
        <v>328</v>
      </c>
      <c r="T52" s="25">
        <v>120</v>
      </c>
      <c r="U52" s="61">
        <v>113</v>
      </c>
      <c r="V52" s="58">
        <v>9.1000000000000004E-3</v>
      </c>
      <c r="W52" s="33">
        <v>1.06E-2</v>
      </c>
      <c r="X52" s="33">
        <v>1.1999999999999999E-3</v>
      </c>
      <c r="Y52" s="33">
        <v>6.1000000000000004E-3</v>
      </c>
      <c r="Z52" s="12" t="s">
        <v>3926</v>
      </c>
      <c r="AA52" s="33">
        <v>3.7000000000000002E-3</v>
      </c>
      <c r="AB52" s="25">
        <v>29</v>
      </c>
      <c r="AC52" s="25">
        <v>23</v>
      </c>
      <c r="AD52" s="25">
        <v>2</v>
      </c>
      <c r="AE52" s="25">
        <v>2</v>
      </c>
      <c r="AF52" s="25">
        <v>0</v>
      </c>
      <c r="AG52" s="25">
        <v>0</v>
      </c>
      <c r="AH52" s="25">
        <v>2</v>
      </c>
      <c r="AI52" s="12">
        <v>7.0000000000000007E-2</v>
      </c>
      <c r="AJ52" s="25">
        <v>446549</v>
      </c>
      <c r="AK52" s="25">
        <v>8297</v>
      </c>
      <c r="AL52" s="33">
        <v>1.89E-2</v>
      </c>
      <c r="AM52" s="3" t="s">
        <v>2302</v>
      </c>
      <c r="AN52" s="12" t="s">
        <v>433</v>
      </c>
      <c r="AO52" s="12" t="s">
        <v>433</v>
      </c>
      <c r="AP52" s="12" t="str">
        <f>"152476488106875"</f>
        <v>152476488106875</v>
      </c>
      <c r="AQ52" s="12" t="s">
        <v>432</v>
      </c>
      <c r="AR52" s="12" t="s">
        <v>4497</v>
      </c>
      <c r="AS52" s="12" t="s">
        <v>3394</v>
      </c>
      <c r="AT52" s="12"/>
      <c r="AU52" s="12" t="s">
        <v>309</v>
      </c>
      <c r="AV52" s="12"/>
      <c r="AW52" s="12"/>
      <c r="AX52" s="12">
        <v>0</v>
      </c>
      <c r="AY52" s="12">
        <v>283</v>
      </c>
      <c r="AZ52" s="12">
        <v>0</v>
      </c>
      <c r="BA52" s="12" t="s">
        <v>434</v>
      </c>
      <c r="BB52" s="12"/>
      <c r="BC52" s="12" t="s">
        <v>6280</v>
      </c>
      <c r="BD52" s="12"/>
      <c r="BE52" s="12" t="s">
        <v>2291</v>
      </c>
      <c r="BF52" s="12"/>
      <c r="BG52" s="12"/>
      <c r="BH52" s="12"/>
      <c r="BI52" s="12"/>
      <c r="BJ52" s="12"/>
      <c r="BK52" s="12"/>
      <c r="BL52" s="12" t="s">
        <v>2292</v>
      </c>
      <c r="BM52" s="12" t="s">
        <v>2292</v>
      </c>
      <c r="BN52" s="12" t="s">
        <v>2292</v>
      </c>
      <c r="BO52" s="12" t="s">
        <v>2291</v>
      </c>
      <c r="BP52" s="12"/>
      <c r="BQ52" s="12"/>
      <c r="BR52" s="12"/>
      <c r="BS52" s="12"/>
      <c r="BT52" s="12"/>
      <c r="BU52" s="12"/>
      <c r="BV52" s="12"/>
      <c r="BW52" s="12"/>
      <c r="BX52" s="12"/>
      <c r="BY52" s="13" t="s">
        <v>313</v>
      </c>
      <c r="BZ52" s="13" t="s">
        <v>312</v>
      </c>
      <c r="CA52" s="13"/>
      <c r="CB52" s="13"/>
      <c r="CC52" s="13"/>
      <c r="CD52" s="13"/>
      <c r="CE52" s="13"/>
      <c r="CF52" s="13"/>
    </row>
    <row r="53" spans="1:84" ht="18.600000000000001" customHeight="1" x14ac:dyDescent="0.25">
      <c r="A53" s="60" t="s">
        <v>15</v>
      </c>
      <c r="B53" s="2" t="s">
        <v>314</v>
      </c>
      <c r="C53" s="3" t="s">
        <v>2876</v>
      </c>
      <c r="D53" s="12" t="s">
        <v>437</v>
      </c>
      <c r="E53" s="12" t="s">
        <v>438</v>
      </c>
      <c r="F53" s="12" t="s">
        <v>4289</v>
      </c>
      <c r="G53" s="25">
        <v>26535</v>
      </c>
      <c r="H53" s="25">
        <v>17279</v>
      </c>
      <c r="I53" s="25">
        <v>3497</v>
      </c>
      <c r="J53" s="25">
        <v>3987</v>
      </c>
      <c r="K53" s="25">
        <v>70547</v>
      </c>
      <c r="L53" s="25">
        <v>100340</v>
      </c>
      <c r="M53" s="25">
        <v>170887</v>
      </c>
      <c r="N53" s="31">
        <v>0.41</v>
      </c>
      <c r="O53" s="25">
        <v>0</v>
      </c>
      <c r="P53" s="25">
        <v>106525</v>
      </c>
      <c r="Q53" s="25">
        <v>1334</v>
      </c>
      <c r="R53" s="25">
        <v>101</v>
      </c>
      <c r="S53" s="25">
        <v>168</v>
      </c>
      <c r="T53" s="25">
        <v>65</v>
      </c>
      <c r="U53" s="61">
        <v>104</v>
      </c>
      <c r="V53" s="58">
        <v>5.1999999999999998E-3</v>
      </c>
      <c r="W53" s="33">
        <v>3.8E-3</v>
      </c>
      <c r="X53" s="12" t="s">
        <v>3926</v>
      </c>
      <c r="Y53" s="12" t="s">
        <v>3926</v>
      </c>
      <c r="Z53" s="33">
        <v>6.2899999999999998E-2</v>
      </c>
      <c r="AA53" s="33">
        <v>2.0999999999999999E-3</v>
      </c>
      <c r="AB53" s="25">
        <v>63</v>
      </c>
      <c r="AC53" s="25">
        <v>49</v>
      </c>
      <c r="AD53" s="25">
        <v>0</v>
      </c>
      <c r="AE53" s="25">
        <v>0</v>
      </c>
      <c r="AF53" s="25">
        <v>2</v>
      </c>
      <c r="AG53" s="25">
        <v>0</v>
      </c>
      <c r="AH53" s="25">
        <v>12</v>
      </c>
      <c r="AI53" s="12">
        <v>0.14000000000000001</v>
      </c>
      <c r="AJ53" s="25">
        <v>80425</v>
      </c>
      <c r="AK53" s="25">
        <v>6635</v>
      </c>
      <c r="AL53" s="33">
        <v>8.9899999999999994E-2</v>
      </c>
      <c r="AM53" s="3" t="s">
        <v>2876</v>
      </c>
      <c r="AN53" s="12" t="s">
        <v>438</v>
      </c>
      <c r="AO53" s="12" t="s">
        <v>438</v>
      </c>
      <c r="AP53" s="12" t="str">
        <f>"120984458239110"</f>
        <v>120984458239110</v>
      </c>
      <c r="AQ53" s="12" t="s">
        <v>437</v>
      </c>
      <c r="AR53" s="12" t="s">
        <v>439</v>
      </c>
      <c r="AS53" s="12" t="s">
        <v>440</v>
      </c>
      <c r="AT53" s="12"/>
      <c r="AU53" s="12" t="s">
        <v>324</v>
      </c>
      <c r="AV53" s="12"/>
      <c r="AW53" s="12"/>
      <c r="AX53" s="12">
        <v>0</v>
      </c>
      <c r="AY53" s="12">
        <v>69</v>
      </c>
      <c r="AZ53" s="12">
        <v>0</v>
      </c>
      <c r="BA53" s="12" t="s">
        <v>441</v>
      </c>
      <c r="BB53" s="12" t="s">
        <v>5981</v>
      </c>
      <c r="BC53" s="12" t="s">
        <v>7078</v>
      </c>
      <c r="BD53" s="12"/>
      <c r="BE53" s="12" t="s">
        <v>2291</v>
      </c>
      <c r="BF53" s="12"/>
      <c r="BG53" s="12"/>
      <c r="BH53" s="12"/>
      <c r="BI53" s="12"/>
      <c r="BJ53" s="12"/>
      <c r="BK53" s="12"/>
      <c r="BL53" s="12" t="s">
        <v>2292</v>
      </c>
      <c r="BM53" s="12" t="s">
        <v>2292</v>
      </c>
      <c r="BN53" s="12" t="s">
        <v>2292</v>
      </c>
      <c r="BO53" s="12" t="s">
        <v>2291</v>
      </c>
      <c r="BP53" s="12"/>
      <c r="BQ53" s="12"/>
      <c r="BR53" s="12"/>
      <c r="BS53" s="12"/>
      <c r="BT53" s="12"/>
      <c r="BU53" s="12"/>
      <c r="BV53" s="12"/>
      <c r="BW53" s="12" t="s">
        <v>435</v>
      </c>
      <c r="BX53" s="12"/>
      <c r="BY53" s="13" t="s">
        <v>313</v>
      </c>
      <c r="BZ53" s="13" t="s">
        <v>6170</v>
      </c>
      <c r="CA53" s="13" t="s">
        <v>6170</v>
      </c>
      <c r="CB53" s="13" t="s">
        <v>312</v>
      </c>
      <c r="CC53" s="13"/>
      <c r="CD53" s="13" t="s">
        <v>6198</v>
      </c>
      <c r="CE53" s="13"/>
      <c r="CF53" s="13"/>
    </row>
    <row r="54" spans="1:84" ht="18.600000000000001" customHeight="1" x14ac:dyDescent="0.25">
      <c r="A54" s="60" t="s">
        <v>15</v>
      </c>
      <c r="B54" s="2" t="s">
        <v>4852</v>
      </c>
      <c r="C54" s="20" t="s">
        <v>4853</v>
      </c>
      <c r="D54" s="12" t="s">
        <v>4868</v>
      </c>
      <c r="E54" s="12"/>
      <c r="F54" s="12" t="s">
        <v>4869</v>
      </c>
      <c r="G54" s="25">
        <v>9174</v>
      </c>
      <c r="H54" s="25">
        <v>6623</v>
      </c>
      <c r="I54" s="25">
        <v>792</v>
      </c>
      <c r="J54" s="25">
        <v>1354</v>
      </c>
      <c r="K54" s="25">
        <v>2256</v>
      </c>
      <c r="L54" s="25">
        <v>2188</v>
      </c>
      <c r="M54" s="25">
        <v>4444</v>
      </c>
      <c r="N54" s="31">
        <v>0.51</v>
      </c>
      <c r="O54" s="25">
        <v>223</v>
      </c>
      <c r="P54" s="25">
        <v>32</v>
      </c>
      <c r="Q54" s="25">
        <v>324</v>
      </c>
      <c r="R54" s="25">
        <v>5</v>
      </c>
      <c r="S54" s="25">
        <v>22</v>
      </c>
      <c r="T54" s="25">
        <v>50</v>
      </c>
      <c r="U54" s="61">
        <v>4</v>
      </c>
      <c r="V54" s="58">
        <v>4.0099999999999997E-2</v>
      </c>
      <c r="W54" s="33">
        <v>4.7E-2</v>
      </c>
      <c r="X54" s="33">
        <v>2.6100000000000002E-2</v>
      </c>
      <c r="Y54" s="33">
        <v>3.0099999999999998E-2</v>
      </c>
      <c r="Z54" s="33">
        <v>2.5999999999999999E-2</v>
      </c>
      <c r="AA54" s="33">
        <v>5.8999999999999999E-3</v>
      </c>
      <c r="AB54" s="25">
        <v>266</v>
      </c>
      <c r="AC54" s="25">
        <v>202</v>
      </c>
      <c r="AD54" s="25">
        <v>4</v>
      </c>
      <c r="AE54" s="25">
        <v>22</v>
      </c>
      <c r="AF54" s="25">
        <v>19</v>
      </c>
      <c r="AG54" s="25">
        <v>7</v>
      </c>
      <c r="AH54" s="25">
        <v>12</v>
      </c>
      <c r="AI54" s="12">
        <v>0.61</v>
      </c>
      <c r="AJ54" s="25">
        <v>1525</v>
      </c>
      <c r="AK54" s="25">
        <v>0</v>
      </c>
      <c r="AL54" s="31">
        <v>0</v>
      </c>
      <c r="AM54" s="20" t="s">
        <v>4853</v>
      </c>
      <c r="AN54" s="12" t="s">
        <v>6516</v>
      </c>
      <c r="AO54" s="12"/>
      <c r="AP54" s="12" t="str">
        <f>"1705779776380977"</f>
        <v>1705779776380977</v>
      </c>
      <c r="AQ54" s="12" t="s">
        <v>4868</v>
      </c>
      <c r="AR54" s="12"/>
      <c r="AS54" s="12" t="s">
        <v>5812</v>
      </c>
      <c r="AT54" s="12"/>
      <c r="AU54" s="12" t="s">
        <v>319</v>
      </c>
      <c r="AV54" s="12"/>
      <c r="AW54" s="12"/>
      <c r="AX54" s="12">
        <v>0</v>
      </c>
      <c r="AY54" s="12">
        <v>316</v>
      </c>
      <c r="AZ54" s="12">
        <v>0</v>
      </c>
      <c r="BA54" s="12" t="s">
        <v>4921</v>
      </c>
      <c r="BB54" s="12"/>
      <c r="BC54" s="12" t="s">
        <v>6517</v>
      </c>
      <c r="BD54" s="12"/>
      <c r="BE54" s="12" t="s">
        <v>2291</v>
      </c>
      <c r="BF54" s="12"/>
      <c r="BG54" s="12"/>
      <c r="BH54" s="12"/>
      <c r="BI54" s="12"/>
      <c r="BJ54" s="12"/>
      <c r="BK54" s="12"/>
      <c r="BL54" s="12" t="s">
        <v>2292</v>
      </c>
      <c r="BM54" s="12" t="s">
        <v>2292</v>
      </c>
      <c r="BN54" s="12" t="s">
        <v>2292</v>
      </c>
      <c r="BO54" s="12" t="s">
        <v>2292</v>
      </c>
      <c r="BP54" s="12"/>
      <c r="BQ54" s="12"/>
      <c r="BR54" s="12"/>
      <c r="BS54" s="12"/>
      <c r="BT54" s="12"/>
      <c r="BU54" s="12"/>
      <c r="BV54" s="12"/>
      <c r="BW54" s="12"/>
      <c r="BX54" s="12"/>
      <c r="BY54" s="13" t="s">
        <v>313</v>
      </c>
      <c r="BZ54" s="13" t="s">
        <v>6170</v>
      </c>
      <c r="CA54" s="13" t="s">
        <v>6170</v>
      </c>
      <c r="CB54" s="13" t="s">
        <v>312</v>
      </c>
      <c r="CC54" s="13"/>
      <c r="CD54" s="13" t="s">
        <v>6198</v>
      </c>
      <c r="CE54" s="13"/>
      <c r="CF54" s="13"/>
    </row>
    <row r="55" spans="1:84" ht="18.600000000000001" customHeight="1" x14ac:dyDescent="0.25">
      <c r="A55" s="60" t="s">
        <v>15</v>
      </c>
      <c r="B55" s="2" t="s">
        <v>315</v>
      </c>
      <c r="C55" s="3" t="s">
        <v>2510</v>
      </c>
      <c r="D55" s="12" t="s">
        <v>443</v>
      </c>
      <c r="E55" s="12" t="s">
        <v>442</v>
      </c>
      <c r="F55" s="12" t="s">
        <v>4061</v>
      </c>
      <c r="G55" s="25">
        <v>14561</v>
      </c>
      <c r="H55" s="25">
        <v>10223</v>
      </c>
      <c r="I55" s="25">
        <v>770</v>
      </c>
      <c r="J55" s="25">
        <v>3148</v>
      </c>
      <c r="K55" s="25">
        <v>9610</v>
      </c>
      <c r="L55" s="25">
        <v>7610</v>
      </c>
      <c r="M55" s="25">
        <v>17220</v>
      </c>
      <c r="N55" s="31">
        <v>0.56000000000000005</v>
      </c>
      <c r="O55" s="25">
        <v>679</v>
      </c>
      <c r="P55" s="25">
        <v>480</v>
      </c>
      <c r="Q55" s="25">
        <v>358</v>
      </c>
      <c r="R55" s="25">
        <v>10</v>
      </c>
      <c r="S55" s="25">
        <v>24</v>
      </c>
      <c r="T55" s="25">
        <v>22</v>
      </c>
      <c r="U55" s="61">
        <v>6</v>
      </c>
      <c r="V55" s="58">
        <v>7.9000000000000008E-3</v>
      </c>
      <c r="W55" s="33">
        <v>8.8999999999999999E-3</v>
      </c>
      <c r="X55" s="33">
        <v>2.7000000000000001E-3</v>
      </c>
      <c r="Y55" s="33">
        <v>6.1000000000000004E-3</v>
      </c>
      <c r="Z55" s="33">
        <v>6.7000000000000002E-3</v>
      </c>
      <c r="AA55" s="33">
        <v>1.5E-3</v>
      </c>
      <c r="AB55" s="25">
        <v>355</v>
      </c>
      <c r="AC55" s="25">
        <v>270</v>
      </c>
      <c r="AD55" s="25">
        <v>40</v>
      </c>
      <c r="AE55" s="25">
        <v>2</v>
      </c>
      <c r="AF55" s="25">
        <v>35</v>
      </c>
      <c r="AG55" s="25">
        <v>5</v>
      </c>
      <c r="AH55" s="25">
        <v>3</v>
      </c>
      <c r="AI55" s="12">
        <v>0.81</v>
      </c>
      <c r="AJ55" s="25">
        <v>6297</v>
      </c>
      <c r="AK55" s="25">
        <v>2222</v>
      </c>
      <c r="AL55" s="33">
        <v>0.54530000000000001</v>
      </c>
      <c r="AM55" s="3" t="s">
        <v>2510</v>
      </c>
      <c r="AN55" s="12" t="s">
        <v>442</v>
      </c>
      <c r="AO55" s="12" t="s">
        <v>442</v>
      </c>
      <c r="AP55" s="12" t="str">
        <f>"509872415814068"</f>
        <v>509872415814068</v>
      </c>
      <c r="AQ55" s="12" t="s">
        <v>443</v>
      </c>
      <c r="AR55" s="12" t="s">
        <v>6572</v>
      </c>
      <c r="AS55" s="12" t="s">
        <v>444</v>
      </c>
      <c r="AT55" s="12"/>
      <c r="AU55" s="12" t="s">
        <v>324</v>
      </c>
      <c r="AV55" s="12" t="s">
        <v>5731</v>
      </c>
      <c r="AW55" s="12"/>
      <c r="AX55" s="12">
        <v>356</v>
      </c>
      <c r="AY55" s="12">
        <v>375</v>
      </c>
      <c r="AZ55" s="12">
        <v>356</v>
      </c>
      <c r="BA55" s="12" t="s">
        <v>445</v>
      </c>
      <c r="BB55" s="12" t="s">
        <v>6573</v>
      </c>
      <c r="BC55" s="12" t="s">
        <v>6574</v>
      </c>
      <c r="BD55" s="12"/>
      <c r="BE55" s="12" t="s">
        <v>2291</v>
      </c>
      <c r="BF55" s="12"/>
      <c r="BG55" s="12"/>
      <c r="BH55" s="12"/>
      <c r="BI55" s="12"/>
      <c r="BJ55" s="12"/>
      <c r="BK55" s="12" t="s">
        <v>6575</v>
      </c>
      <c r="BL55" s="12" t="s">
        <v>2292</v>
      </c>
      <c r="BM55" s="12" t="s">
        <v>2292</v>
      </c>
      <c r="BN55" s="12" t="s">
        <v>2292</v>
      </c>
      <c r="BO55" s="12" t="s">
        <v>2292</v>
      </c>
      <c r="BP55" s="12"/>
      <c r="BQ55" s="12"/>
      <c r="BR55" s="12"/>
      <c r="BS55" s="12"/>
      <c r="BT55" s="12" t="s">
        <v>446</v>
      </c>
      <c r="BU55" s="12" t="s">
        <v>326</v>
      </c>
      <c r="BV55" s="12"/>
      <c r="BW55" s="12" t="s">
        <v>4556</v>
      </c>
      <c r="BX55" s="12"/>
      <c r="BY55" s="13" t="s">
        <v>313</v>
      </c>
      <c r="BZ55" s="13" t="s">
        <v>6173</v>
      </c>
      <c r="CA55" s="13" t="s">
        <v>6170</v>
      </c>
      <c r="CB55" s="13" t="s">
        <v>312</v>
      </c>
      <c r="CC55" s="13"/>
      <c r="CD55" s="13" t="s">
        <v>6198</v>
      </c>
      <c r="CE55" s="13"/>
      <c r="CF55" s="13"/>
    </row>
    <row r="56" spans="1:84" ht="18.600000000000001" customHeight="1" x14ac:dyDescent="0.25">
      <c r="A56" s="60" t="s">
        <v>16</v>
      </c>
      <c r="B56" s="2" t="s">
        <v>5066</v>
      </c>
      <c r="C56" s="3" t="s">
        <v>6219</v>
      </c>
      <c r="D56" s="12" t="s">
        <v>6324</v>
      </c>
      <c r="E56" s="12"/>
      <c r="F56" s="12" t="s">
        <v>7423</v>
      </c>
      <c r="G56" s="25">
        <v>83609</v>
      </c>
      <c r="H56" s="25">
        <v>64871</v>
      </c>
      <c r="I56" s="25">
        <v>8116</v>
      </c>
      <c r="J56" s="25">
        <v>8377</v>
      </c>
      <c r="K56" s="25">
        <v>16685</v>
      </c>
      <c r="L56" s="25">
        <v>20720</v>
      </c>
      <c r="M56" s="25">
        <v>37405</v>
      </c>
      <c r="N56" s="31">
        <v>0.45</v>
      </c>
      <c r="O56" s="25">
        <v>0</v>
      </c>
      <c r="P56" s="25">
        <v>0</v>
      </c>
      <c r="Q56" s="25">
        <v>2099</v>
      </c>
      <c r="R56" s="25">
        <v>40</v>
      </c>
      <c r="S56" s="25">
        <v>64</v>
      </c>
      <c r="T56" s="25">
        <v>20</v>
      </c>
      <c r="U56" s="61">
        <v>21</v>
      </c>
      <c r="V56" s="58">
        <v>4.4600000000000001E-2</v>
      </c>
      <c r="W56" s="33">
        <v>8.2500000000000004E-2</v>
      </c>
      <c r="X56" s="33">
        <v>9.7000000000000003E-3</v>
      </c>
      <c r="Y56" s="33">
        <v>2.0199999999999999E-2</v>
      </c>
      <c r="Z56" s="33">
        <v>5.1499999999999997E-2</v>
      </c>
      <c r="AA56" s="33">
        <v>1.2999999999999999E-2</v>
      </c>
      <c r="AB56" s="25">
        <v>146</v>
      </c>
      <c r="AC56" s="25">
        <v>78</v>
      </c>
      <c r="AD56" s="25">
        <v>7</v>
      </c>
      <c r="AE56" s="25">
        <v>58</v>
      </c>
      <c r="AF56" s="25">
        <v>2</v>
      </c>
      <c r="AG56" s="25">
        <v>0</v>
      </c>
      <c r="AH56" s="25">
        <v>1</v>
      </c>
      <c r="AI56" s="12">
        <v>0.33</v>
      </c>
      <c r="AJ56" s="25">
        <v>18289</v>
      </c>
      <c r="AK56" s="25">
        <v>0</v>
      </c>
      <c r="AL56" s="31">
        <v>0</v>
      </c>
      <c r="AM56" s="3" t="s">
        <v>6219</v>
      </c>
      <c r="AN56" s="12" t="s">
        <v>6323</v>
      </c>
      <c r="AO56" s="12"/>
      <c r="AP56" s="12" t="str">
        <f>"189258704928602"</f>
        <v>189258704928602</v>
      </c>
      <c r="AQ56" s="12" t="s">
        <v>6324</v>
      </c>
      <c r="AR56" s="12" t="s">
        <v>6325</v>
      </c>
      <c r="AS56" s="12" t="s">
        <v>6326</v>
      </c>
      <c r="AT56" s="12"/>
      <c r="AU56" s="12" t="s">
        <v>324</v>
      </c>
      <c r="AV56" s="12"/>
      <c r="AW56" s="12"/>
      <c r="AX56" s="12">
        <v>0</v>
      </c>
      <c r="AY56" s="12">
        <v>738</v>
      </c>
      <c r="AZ56" s="12">
        <v>0</v>
      </c>
      <c r="BA56" s="12" t="s">
        <v>6327</v>
      </c>
      <c r="BB56" s="12" t="s">
        <v>6328</v>
      </c>
      <c r="BC56" s="12" t="s">
        <v>6329</v>
      </c>
      <c r="BD56" s="12"/>
      <c r="BE56" s="12" t="s">
        <v>2291</v>
      </c>
      <c r="BF56" s="12"/>
      <c r="BG56" s="12"/>
      <c r="BH56" s="12"/>
      <c r="BI56" s="12"/>
      <c r="BJ56" s="12"/>
      <c r="BK56" s="12"/>
      <c r="BL56" s="12" t="s">
        <v>2292</v>
      </c>
      <c r="BM56" s="12" t="s">
        <v>2292</v>
      </c>
      <c r="BN56" s="12" t="s">
        <v>2292</v>
      </c>
      <c r="BO56" s="12" t="s">
        <v>2291</v>
      </c>
      <c r="BP56" s="12"/>
      <c r="BQ56" s="12"/>
      <c r="BR56" s="12"/>
      <c r="BS56" s="12"/>
      <c r="BT56" s="12"/>
      <c r="BU56" s="12"/>
      <c r="BV56" s="12"/>
      <c r="BW56" s="12" t="s">
        <v>6330</v>
      </c>
      <c r="BX56" s="12"/>
      <c r="BY56" s="13"/>
      <c r="BZ56" s="13" t="s">
        <v>6170</v>
      </c>
      <c r="CA56" s="13" t="s">
        <v>6170</v>
      </c>
      <c r="CB56" s="13" t="s">
        <v>312</v>
      </c>
      <c r="CC56" s="13"/>
      <c r="CD56" s="13" t="s">
        <v>6198</v>
      </c>
      <c r="CE56" s="13"/>
      <c r="CF56" s="13"/>
    </row>
    <row r="57" spans="1:84" ht="18.600000000000001" customHeight="1" x14ac:dyDescent="0.25">
      <c r="A57" s="60" t="s">
        <v>17</v>
      </c>
      <c r="B57" s="2" t="s">
        <v>3855</v>
      </c>
      <c r="C57" s="10" t="s">
        <v>3865</v>
      </c>
      <c r="D57" s="12" t="s">
        <v>4236</v>
      </c>
      <c r="E57" s="12" t="s">
        <v>3907</v>
      </c>
      <c r="F57" s="12" t="s">
        <v>4237</v>
      </c>
      <c r="G57" s="25">
        <v>7139216</v>
      </c>
      <c r="H57" s="25">
        <v>6255754</v>
      </c>
      <c r="I57" s="25">
        <v>191702</v>
      </c>
      <c r="J57" s="25">
        <v>475115</v>
      </c>
      <c r="K57" s="25">
        <v>8003809</v>
      </c>
      <c r="L57" s="25">
        <v>4249533</v>
      </c>
      <c r="M57" s="25">
        <v>12253342</v>
      </c>
      <c r="N57" s="31">
        <v>0.65</v>
      </c>
      <c r="O57" s="25">
        <v>415894</v>
      </c>
      <c r="P57" s="25">
        <v>556790</v>
      </c>
      <c r="Q57" s="25">
        <v>180724</v>
      </c>
      <c r="R57" s="25">
        <v>17138</v>
      </c>
      <c r="S57" s="25">
        <v>6991</v>
      </c>
      <c r="T57" s="25">
        <v>10298</v>
      </c>
      <c r="U57" s="61">
        <v>1425</v>
      </c>
      <c r="V57" s="58">
        <v>3.8999999999999998E-3</v>
      </c>
      <c r="W57" s="33">
        <v>5.7000000000000002E-3</v>
      </c>
      <c r="X57" s="33">
        <v>3.5000000000000001E-3</v>
      </c>
      <c r="Y57" s="33">
        <v>3.3E-3</v>
      </c>
      <c r="Z57" s="33">
        <v>2.3999999999999998E-3</v>
      </c>
      <c r="AA57" s="12" t="s">
        <v>3926</v>
      </c>
      <c r="AB57" s="25">
        <v>1159</v>
      </c>
      <c r="AC57" s="25">
        <v>459</v>
      </c>
      <c r="AD57" s="25">
        <v>376</v>
      </c>
      <c r="AE57" s="25">
        <v>31</v>
      </c>
      <c r="AF57" s="25">
        <v>266</v>
      </c>
      <c r="AG57" s="25">
        <v>27</v>
      </c>
      <c r="AH57" s="25">
        <v>0</v>
      </c>
      <c r="AI57" s="12">
        <v>2.64</v>
      </c>
      <c r="AJ57" s="25">
        <v>1665123</v>
      </c>
      <c r="AK57" s="25">
        <v>315270</v>
      </c>
      <c r="AL57" s="33">
        <v>0.2336</v>
      </c>
      <c r="AM57" s="10" t="s">
        <v>3865</v>
      </c>
      <c r="AN57" s="12" t="s">
        <v>3907</v>
      </c>
      <c r="AO57" s="12" t="s">
        <v>3907</v>
      </c>
      <c r="AP57" s="12" t="str">
        <f>"7893934835"</f>
        <v>7893934835</v>
      </c>
      <c r="AQ57" s="12" t="s">
        <v>4236</v>
      </c>
      <c r="AR57" s="12" t="s">
        <v>4613</v>
      </c>
      <c r="AS57" s="12" t="s">
        <v>4700</v>
      </c>
      <c r="AT57" s="12"/>
      <c r="AU57" s="12" t="s">
        <v>309</v>
      </c>
      <c r="AV57" s="12"/>
      <c r="AW57" s="12"/>
      <c r="AX57" s="12">
        <v>0</v>
      </c>
      <c r="AY57" s="12">
        <v>100276</v>
      </c>
      <c r="AZ57" s="12">
        <v>0</v>
      </c>
      <c r="BA57" s="12" t="s">
        <v>4614</v>
      </c>
      <c r="BB57" s="12"/>
      <c r="BC57" s="12" t="s">
        <v>6973</v>
      </c>
      <c r="BD57" s="12"/>
      <c r="BE57" s="12" t="s">
        <v>2291</v>
      </c>
      <c r="BF57" s="12"/>
      <c r="BG57" s="12"/>
      <c r="BH57" s="12"/>
      <c r="BI57" s="12"/>
      <c r="BJ57" s="12"/>
      <c r="BK57" s="12"/>
      <c r="BL57" s="12" t="s">
        <v>2292</v>
      </c>
      <c r="BM57" s="12" t="s">
        <v>2292</v>
      </c>
      <c r="BN57" s="12" t="s">
        <v>2292</v>
      </c>
      <c r="BO57" s="12" t="s">
        <v>2291</v>
      </c>
      <c r="BP57" s="12"/>
      <c r="BQ57" s="12"/>
      <c r="BR57" s="12"/>
      <c r="BS57" s="12"/>
      <c r="BT57" s="12">
        <v>233546812225</v>
      </c>
      <c r="BU57" s="12"/>
      <c r="BV57" s="12"/>
      <c r="BW57" s="12"/>
      <c r="BX57" s="12"/>
      <c r="BY57" s="13" t="s">
        <v>313</v>
      </c>
      <c r="BZ57" s="13" t="s">
        <v>6171</v>
      </c>
      <c r="CA57" s="13"/>
      <c r="CB57" s="13"/>
      <c r="CC57" s="13"/>
      <c r="CD57" s="13"/>
      <c r="CE57" s="13"/>
      <c r="CF57" s="13"/>
    </row>
    <row r="58" spans="1:84" ht="18.600000000000001" customHeight="1" x14ac:dyDescent="0.25">
      <c r="A58" s="60" t="s">
        <v>17</v>
      </c>
      <c r="B58" s="2" t="s">
        <v>314</v>
      </c>
      <c r="C58" s="3" t="s">
        <v>3881</v>
      </c>
      <c r="D58" s="12" t="s">
        <v>4065</v>
      </c>
      <c r="E58" s="12" t="s">
        <v>4066</v>
      </c>
      <c r="F58" s="12" t="s">
        <v>4067</v>
      </c>
      <c r="G58" s="25">
        <v>10916</v>
      </c>
      <c r="H58" s="25">
        <v>7962</v>
      </c>
      <c r="I58" s="25">
        <v>714</v>
      </c>
      <c r="J58" s="25">
        <v>2032</v>
      </c>
      <c r="K58" s="25">
        <v>0</v>
      </c>
      <c r="L58" s="25">
        <v>0</v>
      </c>
      <c r="M58" s="25">
        <v>0</v>
      </c>
      <c r="N58" s="31">
        <v>0</v>
      </c>
      <c r="O58" s="25">
        <v>0</v>
      </c>
      <c r="P58" s="25">
        <v>0</v>
      </c>
      <c r="Q58" s="25">
        <v>60</v>
      </c>
      <c r="R58" s="25">
        <v>20</v>
      </c>
      <c r="S58" s="25">
        <v>60</v>
      </c>
      <c r="T58" s="25">
        <v>50</v>
      </c>
      <c r="U58" s="61">
        <v>18</v>
      </c>
      <c r="V58" s="58">
        <v>1E-4</v>
      </c>
      <c r="W58" s="33">
        <v>0</v>
      </c>
      <c r="X58" s="33">
        <v>1E-4</v>
      </c>
      <c r="Y58" s="33">
        <v>0</v>
      </c>
      <c r="Z58" s="12" t="s">
        <v>3926</v>
      </c>
      <c r="AA58" s="12" t="s">
        <v>3926</v>
      </c>
      <c r="AB58" s="25">
        <v>9075</v>
      </c>
      <c r="AC58" s="25">
        <v>1</v>
      </c>
      <c r="AD58" s="25">
        <v>9071</v>
      </c>
      <c r="AE58" s="25">
        <v>3</v>
      </c>
      <c r="AF58" s="25">
        <v>0</v>
      </c>
      <c r="AG58" s="25">
        <v>0</v>
      </c>
      <c r="AH58" s="25">
        <v>0</v>
      </c>
      <c r="AI58" s="12">
        <v>20.67</v>
      </c>
      <c r="AJ58" s="25">
        <v>10061</v>
      </c>
      <c r="AK58" s="25">
        <v>556</v>
      </c>
      <c r="AL58" s="33">
        <v>5.8500000000000003E-2</v>
      </c>
      <c r="AM58" s="3" t="s">
        <v>3881</v>
      </c>
      <c r="AN58" s="12" t="s">
        <v>4066</v>
      </c>
      <c r="AO58" s="12" t="s">
        <v>4066</v>
      </c>
      <c r="AP58" s="12" t="str">
        <f>"179281409080786"</f>
        <v>179281409080786</v>
      </c>
      <c r="AQ58" s="12" t="s">
        <v>4065</v>
      </c>
      <c r="AR58" s="12" t="s">
        <v>4557</v>
      </c>
      <c r="AS58" s="12" t="s">
        <v>4558</v>
      </c>
      <c r="AT58" s="12"/>
      <c r="AU58" s="12" t="s">
        <v>367</v>
      </c>
      <c r="AV58" s="12"/>
      <c r="AW58" s="12"/>
      <c r="AX58" s="12">
        <v>0</v>
      </c>
      <c r="AY58" s="12">
        <v>69</v>
      </c>
      <c r="AZ58" s="12">
        <v>0</v>
      </c>
      <c r="BA58" s="12" t="s">
        <v>4559</v>
      </c>
      <c r="BB58" s="12"/>
      <c r="BC58" s="12" t="s">
        <v>6582</v>
      </c>
      <c r="BD58" s="12"/>
      <c r="BE58" s="12" t="s">
        <v>2291</v>
      </c>
      <c r="BF58" s="12"/>
      <c r="BG58" s="12"/>
      <c r="BH58" s="12"/>
      <c r="BI58" s="12"/>
      <c r="BJ58" s="12"/>
      <c r="BK58" s="12"/>
      <c r="BL58" s="12" t="s">
        <v>2292</v>
      </c>
      <c r="BM58" s="12" t="s">
        <v>2292</v>
      </c>
      <c r="BN58" s="12" t="s">
        <v>2292</v>
      </c>
      <c r="BO58" s="12" t="s">
        <v>2292</v>
      </c>
      <c r="BP58" s="12"/>
      <c r="BQ58" s="12"/>
      <c r="BR58" s="12"/>
      <c r="BS58" s="12"/>
      <c r="BT58" s="12"/>
      <c r="BU58" s="12"/>
      <c r="BV58" s="12"/>
      <c r="BW58" s="12"/>
      <c r="BX58" s="12"/>
      <c r="BY58" s="13" t="s">
        <v>313</v>
      </c>
      <c r="BZ58" s="13" t="s">
        <v>6170</v>
      </c>
      <c r="CA58" s="13" t="s">
        <v>6170</v>
      </c>
      <c r="CB58" s="13" t="s">
        <v>312</v>
      </c>
      <c r="CC58" s="13"/>
      <c r="CD58" s="13" t="s">
        <v>6198</v>
      </c>
      <c r="CE58" s="13"/>
      <c r="CF58" s="13"/>
    </row>
    <row r="59" spans="1:84" ht="18.600000000000001" customHeight="1" x14ac:dyDescent="0.25">
      <c r="A59" s="60" t="s">
        <v>17</v>
      </c>
      <c r="B59" s="2" t="s">
        <v>314</v>
      </c>
      <c r="C59" s="3" t="s">
        <v>2485</v>
      </c>
      <c r="D59" s="12" t="s">
        <v>448</v>
      </c>
      <c r="E59" s="12" t="s">
        <v>447</v>
      </c>
      <c r="F59" s="12" t="s">
        <v>4050</v>
      </c>
      <c r="G59" s="25">
        <v>114699</v>
      </c>
      <c r="H59" s="25">
        <v>88207</v>
      </c>
      <c r="I59" s="25">
        <v>7854</v>
      </c>
      <c r="J59" s="25">
        <v>12136</v>
      </c>
      <c r="K59" s="25">
        <v>119694</v>
      </c>
      <c r="L59" s="25">
        <v>234617</v>
      </c>
      <c r="M59" s="25">
        <v>354311</v>
      </c>
      <c r="N59" s="31">
        <v>0.34</v>
      </c>
      <c r="O59" s="25">
        <v>21603</v>
      </c>
      <c r="P59" s="25">
        <v>65599</v>
      </c>
      <c r="Q59" s="25">
        <v>5461</v>
      </c>
      <c r="R59" s="25">
        <v>324</v>
      </c>
      <c r="S59" s="25">
        <v>507</v>
      </c>
      <c r="T59" s="25">
        <v>97</v>
      </c>
      <c r="U59" s="61">
        <v>110</v>
      </c>
      <c r="V59" s="58">
        <v>4.5999999999999999E-3</v>
      </c>
      <c r="W59" s="33">
        <v>3.7000000000000002E-3</v>
      </c>
      <c r="X59" s="33">
        <v>4.3E-3</v>
      </c>
      <c r="Y59" s="33">
        <v>8.3999999999999995E-3</v>
      </c>
      <c r="Z59" s="33">
        <v>1.23E-2</v>
      </c>
      <c r="AA59" s="12" t="s">
        <v>3926</v>
      </c>
      <c r="AB59" s="25">
        <v>502</v>
      </c>
      <c r="AC59" s="25">
        <v>164</v>
      </c>
      <c r="AD59" s="25">
        <v>266</v>
      </c>
      <c r="AE59" s="25">
        <v>1</v>
      </c>
      <c r="AF59" s="25">
        <v>41</v>
      </c>
      <c r="AG59" s="25">
        <v>30</v>
      </c>
      <c r="AH59" s="25">
        <v>0</v>
      </c>
      <c r="AI59" s="12">
        <v>1.1399999999999999</v>
      </c>
      <c r="AJ59" s="25">
        <v>70083</v>
      </c>
      <c r="AK59" s="25">
        <v>45642</v>
      </c>
      <c r="AL59" s="33">
        <v>1.8673999999999999</v>
      </c>
      <c r="AM59" s="3" t="s">
        <v>2485</v>
      </c>
      <c r="AN59" s="12" t="s">
        <v>447</v>
      </c>
      <c r="AO59" s="12" t="s">
        <v>447</v>
      </c>
      <c r="AP59" s="12" t="str">
        <f>"582040878482949"</f>
        <v>582040878482949</v>
      </c>
      <c r="AQ59" s="12" t="s">
        <v>448</v>
      </c>
      <c r="AR59" s="12" t="s">
        <v>449</v>
      </c>
      <c r="AS59" s="12" t="s">
        <v>2486</v>
      </c>
      <c r="AT59" s="12"/>
      <c r="AU59" s="12" t="s">
        <v>324</v>
      </c>
      <c r="AV59" s="12"/>
      <c r="AW59" s="12"/>
      <c r="AX59" s="12">
        <v>0</v>
      </c>
      <c r="AY59" s="12">
        <v>287</v>
      </c>
      <c r="AZ59" s="12">
        <v>0</v>
      </c>
      <c r="BA59" s="12" t="s">
        <v>450</v>
      </c>
      <c r="BB59" s="12" t="s">
        <v>5821</v>
      </c>
      <c r="BC59" s="12" t="s">
        <v>6547</v>
      </c>
      <c r="BD59" s="12"/>
      <c r="BE59" s="12" t="s">
        <v>2291</v>
      </c>
      <c r="BF59" s="12"/>
      <c r="BG59" s="12"/>
      <c r="BH59" s="12"/>
      <c r="BI59" s="12"/>
      <c r="BJ59" s="12"/>
      <c r="BK59" s="12"/>
      <c r="BL59" s="12" t="s">
        <v>2292</v>
      </c>
      <c r="BM59" s="12" t="s">
        <v>2292</v>
      </c>
      <c r="BN59" s="12" t="s">
        <v>2292</v>
      </c>
      <c r="BO59" s="12" t="s">
        <v>2292</v>
      </c>
      <c r="BP59" s="12"/>
      <c r="BQ59" s="12"/>
      <c r="BR59" s="12"/>
      <c r="BS59" s="12"/>
      <c r="BT59" s="12"/>
      <c r="BU59" s="12"/>
      <c r="BV59" s="12"/>
      <c r="BW59" s="12" t="s">
        <v>451</v>
      </c>
      <c r="BX59" s="12"/>
      <c r="BY59" s="13" t="s">
        <v>313</v>
      </c>
      <c r="BZ59" s="13" t="s">
        <v>6170</v>
      </c>
      <c r="CA59" s="13" t="s">
        <v>6170</v>
      </c>
      <c r="CB59" s="13" t="s">
        <v>312</v>
      </c>
      <c r="CC59" s="13"/>
      <c r="CD59" s="13" t="s">
        <v>6198</v>
      </c>
      <c r="CE59" s="13"/>
      <c r="CF59" s="13"/>
    </row>
    <row r="60" spans="1:84" ht="18.600000000000001" customHeight="1" x14ac:dyDescent="0.25">
      <c r="A60" s="62" t="s">
        <v>17</v>
      </c>
      <c r="B60" s="17" t="s">
        <v>335</v>
      </c>
      <c r="C60" s="10" t="s">
        <v>5548</v>
      </c>
      <c r="D60" s="12" t="s">
        <v>4737</v>
      </c>
      <c r="E60" s="12" t="s">
        <v>18</v>
      </c>
      <c r="F60" s="12" t="s">
        <v>4481</v>
      </c>
      <c r="G60" s="25">
        <v>753</v>
      </c>
      <c r="H60" s="25">
        <v>526</v>
      </c>
      <c r="I60" s="25">
        <v>71</v>
      </c>
      <c r="J60" s="25">
        <v>135</v>
      </c>
      <c r="K60" s="25">
        <v>283</v>
      </c>
      <c r="L60" s="25">
        <v>771</v>
      </c>
      <c r="M60" s="25">
        <v>1054</v>
      </c>
      <c r="N60" s="31">
        <v>0.27</v>
      </c>
      <c r="O60" s="25">
        <v>0</v>
      </c>
      <c r="P60" s="25">
        <v>0</v>
      </c>
      <c r="Q60" s="25">
        <v>20</v>
      </c>
      <c r="R60" s="25">
        <v>0</v>
      </c>
      <c r="S60" s="25">
        <v>1</v>
      </c>
      <c r="T60" s="25">
        <v>0</v>
      </c>
      <c r="U60" s="61">
        <v>0</v>
      </c>
      <c r="V60" s="58">
        <v>2.4899999999999999E-2</v>
      </c>
      <c r="W60" s="33">
        <v>2.52E-2</v>
      </c>
      <c r="X60" s="33">
        <v>2.5600000000000001E-2</v>
      </c>
      <c r="Y60" s="33">
        <v>1.9400000000000001E-2</v>
      </c>
      <c r="Z60" s="33">
        <v>5.5199999999999999E-2</v>
      </c>
      <c r="AA60" s="12" t="s">
        <v>3926</v>
      </c>
      <c r="AB60" s="25">
        <v>20</v>
      </c>
      <c r="AC60" s="25">
        <v>17</v>
      </c>
      <c r="AD60" s="25">
        <v>1</v>
      </c>
      <c r="AE60" s="25">
        <v>1</v>
      </c>
      <c r="AF60" s="25">
        <v>1</v>
      </c>
      <c r="AG60" s="25">
        <v>0</v>
      </c>
      <c r="AH60" s="25">
        <v>0</v>
      </c>
      <c r="AI60" s="12">
        <v>0.05</v>
      </c>
      <c r="AJ60" s="25">
        <v>2460</v>
      </c>
      <c r="AK60" s="25">
        <v>1968</v>
      </c>
      <c r="AL60" s="33">
        <v>4</v>
      </c>
      <c r="AM60" s="10" t="s">
        <v>5548</v>
      </c>
      <c r="AN60" s="12" t="s">
        <v>18</v>
      </c>
      <c r="AO60" s="12" t="s">
        <v>18</v>
      </c>
      <c r="AP60" s="12" t="str">
        <f>"677364282340384"</f>
        <v>677364282340384</v>
      </c>
      <c r="AQ60" s="12" t="s">
        <v>4737</v>
      </c>
      <c r="AR60" s="12" t="s">
        <v>4597</v>
      </c>
      <c r="AS60" s="12" t="s">
        <v>4598</v>
      </c>
      <c r="AT60" s="12"/>
      <c r="AU60" s="12" t="s">
        <v>324</v>
      </c>
      <c r="AV60" s="12"/>
      <c r="AW60" s="12" t="s">
        <v>4599</v>
      </c>
      <c r="AX60" s="12">
        <v>0</v>
      </c>
      <c r="AY60" s="12">
        <v>34</v>
      </c>
      <c r="AZ60" s="12">
        <v>0</v>
      </c>
      <c r="BA60" s="12" t="s">
        <v>5592</v>
      </c>
      <c r="BB60" s="12" t="s">
        <v>6852</v>
      </c>
      <c r="BC60" s="12" t="s">
        <v>6853</v>
      </c>
      <c r="BD60" s="12"/>
      <c r="BE60" s="12" t="s">
        <v>2291</v>
      </c>
      <c r="BF60" s="12"/>
      <c r="BG60" s="12"/>
      <c r="BH60" s="12"/>
      <c r="BI60" s="12"/>
      <c r="BJ60" s="12"/>
      <c r="BK60" s="12"/>
      <c r="BL60" s="12" t="s">
        <v>2292</v>
      </c>
      <c r="BM60" s="12" t="s">
        <v>2292</v>
      </c>
      <c r="BN60" s="12" t="s">
        <v>2292</v>
      </c>
      <c r="BO60" s="12" t="s">
        <v>2292</v>
      </c>
      <c r="BP60" s="12" t="s">
        <v>4600</v>
      </c>
      <c r="BQ60" s="12"/>
      <c r="BR60" s="12"/>
      <c r="BS60" s="12"/>
      <c r="BT60" s="12"/>
      <c r="BU60" s="12"/>
      <c r="BV60" s="12"/>
      <c r="BW60" s="12" t="s">
        <v>4601</v>
      </c>
      <c r="BX60" s="12"/>
      <c r="BY60" s="13" t="s">
        <v>313</v>
      </c>
      <c r="BZ60" s="13" t="s">
        <v>6174</v>
      </c>
      <c r="CA60" s="13" t="s">
        <v>6170</v>
      </c>
      <c r="CB60" s="13" t="s">
        <v>6201</v>
      </c>
      <c r="CC60" s="13"/>
      <c r="CD60" s="13" t="s">
        <v>6198</v>
      </c>
      <c r="CE60" s="13"/>
      <c r="CF60" s="13"/>
    </row>
    <row r="61" spans="1:84" ht="18.600000000000001" customHeight="1" x14ac:dyDescent="0.25">
      <c r="A61" s="60" t="s">
        <v>19</v>
      </c>
      <c r="B61" s="2" t="s">
        <v>452</v>
      </c>
      <c r="C61" s="3" t="s">
        <v>3163</v>
      </c>
      <c r="D61" s="12" t="s">
        <v>3304</v>
      </c>
      <c r="E61" s="12" t="s">
        <v>3161</v>
      </c>
      <c r="F61" s="12" t="s">
        <v>4305</v>
      </c>
      <c r="G61" s="25">
        <v>1296740</v>
      </c>
      <c r="H61" s="25">
        <v>972729</v>
      </c>
      <c r="I61" s="25">
        <v>77105</v>
      </c>
      <c r="J61" s="25">
        <v>214541</v>
      </c>
      <c r="K61" s="25">
        <v>2718777</v>
      </c>
      <c r="L61" s="25">
        <v>2047912</v>
      </c>
      <c r="M61" s="25">
        <v>4766689</v>
      </c>
      <c r="N61" s="31">
        <v>0.56999999999999995</v>
      </c>
      <c r="O61" s="25">
        <v>38132</v>
      </c>
      <c r="P61" s="25">
        <v>0</v>
      </c>
      <c r="Q61" s="25">
        <v>20348</v>
      </c>
      <c r="R61" s="25">
        <v>1977</v>
      </c>
      <c r="S61" s="25">
        <v>3240</v>
      </c>
      <c r="T61" s="25">
        <v>5234</v>
      </c>
      <c r="U61" s="61">
        <v>1534</v>
      </c>
      <c r="V61" s="58">
        <v>6.1999999999999998E-3</v>
      </c>
      <c r="W61" s="33">
        <v>7.0000000000000001E-3</v>
      </c>
      <c r="X61" s="33">
        <v>4.1999999999999997E-3</v>
      </c>
      <c r="Y61" s="33">
        <v>3.0000000000000001E-3</v>
      </c>
      <c r="Z61" s="33">
        <v>4.3E-3</v>
      </c>
      <c r="AA61" s="12" t="s">
        <v>3926</v>
      </c>
      <c r="AB61" s="25">
        <v>313</v>
      </c>
      <c r="AC61" s="25">
        <v>211</v>
      </c>
      <c r="AD61" s="25">
        <v>5</v>
      </c>
      <c r="AE61" s="25">
        <v>4</v>
      </c>
      <c r="AF61" s="25">
        <v>92</v>
      </c>
      <c r="AG61" s="25">
        <v>1</v>
      </c>
      <c r="AH61" s="25">
        <v>0</v>
      </c>
      <c r="AI61" s="12">
        <v>0.71</v>
      </c>
      <c r="AJ61" s="25">
        <v>745568</v>
      </c>
      <c r="AK61" s="25">
        <v>143607</v>
      </c>
      <c r="AL61" s="33">
        <v>0.23860000000000001</v>
      </c>
      <c r="AM61" s="3" t="s">
        <v>3163</v>
      </c>
      <c r="AN61" s="12" t="s">
        <v>3161</v>
      </c>
      <c r="AO61" s="12" t="s">
        <v>3161</v>
      </c>
      <c r="AP61" s="12" t="str">
        <f>"1428690064103291"</f>
        <v>1428690064103291</v>
      </c>
      <c r="AQ61" s="12" t="s">
        <v>3304</v>
      </c>
      <c r="AR61" s="12" t="s">
        <v>3305</v>
      </c>
      <c r="AS61" s="12" t="s">
        <v>3306</v>
      </c>
      <c r="AT61" s="12"/>
      <c r="AU61" s="12" t="s">
        <v>309</v>
      </c>
      <c r="AV61" s="12"/>
      <c r="AW61" s="12"/>
      <c r="AX61" s="12">
        <v>0</v>
      </c>
      <c r="AY61" s="12">
        <v>34659</v>
      </c>
      <c r="AZ61" s="12">
        <v>0</v>
      </c>
      <c r="BA61" s="12" t="s">
        <v>3307</v>
      </c>
      <c r="BB61" s="12" t="s">
        <v>5988</v>
      </c>
      <c r="BC61" s="12" t="s">
        <v>7109</v>
      </c>
      <c r="BD61" s="12"/>
      <c r="BE61" s="12" t="s">
        <v>2291</v>
      </c>
      <c r="BF61" s="12"/>
      <c r="BG61" s="12"/>
      <c r="BH61" s="12"/>
      <c r="BI61" s="12"/>
      <c r="BJ61" s="12"/>
      <c r="BK61" s="12"/>
      <c r="BL61" s="12" t="s">
        <v>2292</v>
      </c>
      <c r="BM61" s="12" t="s">
        <v>2292</v>
      </c>
      <c r="BN61" s="12" t="s">
        <v>2292</v>
      </c>
      <c r="BO61" s="12" t="s">
        <v>2291</v>
      </c>
      <c r="BP61" s="12"/>
      <c r="BQ61" s="12"/>
      <c r="BR61" s="12"/>
      <c r="BS61" s="12"/>
      <c r="BT61" s="12"/>
      <c r="BU61" s="12"/>
      <c r="BV61" s="12"/>
      <c r="BW61" s="12" t="s">
        <v>464</v>
      </c>
      <c r="BX61" s="12"/>
      <c r="BY61" s="13" t="s">
        <v>313</v>
      </c>
      <c r="BZ61" s="13" t="s">
        <v>6170</v>
      </c>
      <c r="CA61" s="13" t="s">
        <v>6170</v>
      </c>
      <c r="CB61" s="13" t="s">
        <v>312</v>
      </c>
      <c r="CC61" s="13"/>
      <c r="CD61" s="13" t="s">
        <v>6198</v>
      </c>
      <c r="CE61" s="13"/>
      <c r="CF61" s="13"/>
    </row>
    <row r="62" spans="1:84" ht="18.600000000000001" customHeight="1" x14ac:dyDescent="0.25">
      <c r="A62" s="60" t="s">
        <v>19</v>
      </c>
      <c r="B62" s="2" t="s">
        <v>3187</v>
      </c>
      <c r="C62" s="3" t="s">
        <v>3392</v>
      </c>
      <c r="D62" s="12" t="s">
        <v>3376</v>
      </c>
      <c r="E62" s="12" t="s">
        <v>3156</v>
      </c>
      <c r="F62" s="12" t="s">
        <v>4427</v>
      </c>
      <c r="G62" s="25">
        <v>0</v>
      </c>
      <c r="H62" s="25">
        <v>0</v>
      </c>
      <c r="I62" s="25">
        <v>0</v>
      </c>
      <c r="J62" s="25">
        <v>0</v>
      </c>
      <c r="K62" s="25">
        <v>0</v>
      </c>
      <c r="L62" s="25">
        <v>0</v>
      </c>
      <c r="M62" s="25">
        <v>0</v>
      </c>
      <c r="N62" s="31">
        <v>0</v>
      </c>
      <c r="O62" s="25">
        <v>0</v>
      </c>
      <c r="P62" s="25">
        <v>0</v>
      </c>
      <c r="Q62" s="25">
        <v>0</v>
      </c>
      <c r="R62" s="25">
        <v>0</v>
      </c>
      <c r="S62" s="25">
        <v>0</v>
      </c>
      <c r="T62" s="25">
        <v>0</v>
      </c>
      <c r="U62" s="61">
        <v>0</v>
      </c>
      <c r="V62" s="59"/>
      <c r="W62" s="12" t="s">
        <v>3926</v>
      </c>
      <c r="X62" s="12" t="s">
        <v>3926</v>
      </c>
      <c r="Y62" s="12" t="s">
        <v>3926</v>
      </c>
      <c r="Z62" s="12" t="s">
        <v>3926</v>
      </c>
      <c r="AA62" s="12" t="s">
        <v>3926</v>
      </c>
      <c r="AB62" s="25" t="s">
        <v>3927</v>
      </c>
      <c r="AC62" s="25">
        <v>0</v>
      </c>
      <c r="AD62" s="25">
        <v>0</v>
      </c>
      <c r="AE62" s="25">
        <v>0</v>
      </c>
      <c r="AF62" s="25">
        <v>0</v>
      </c>
      <c r="AG62" s="25">
        <v>0</v>
      </c>
      <c r="AH62" s="25">
        <v>0</v>
      </c>
      <c r="AI62" s="12">
        <v>0</v>
      </c>
      <c r="AJ62" s="25">
        <v>20142</v>
      </c>
      <c r="AK62" s="25">
        <v>1180</v>
      </c>
      <c r="AL62" s="33">
        <v>6.2199999999999998E-2</v>
      </c>
      <c r="AM62" s="3" t="s">
        <v>3392</v>
      </c>
      <c r="AN62" s="12" t="s">
        <v>3156</v>
      </c>
      <c r="AO62" s="12" t="s">
        <v>3156</v>
      </c>
      <c r="AP62" s="12" t="str">
        <f>"726592630764197"</f>
        <v>726592630764197</v>
      </c>
      <c r="AQ62" s="12" t="s">
        <v>3376</v>
      </c>
      <c r="AR62" s="12" t="s">
        <v>3146</v>
      </c>
      <c r="AS62" s="12" t="s">
        <v>3377</v>
      </c>
      <c r="AT62" s="12" t="s">
        <v>3378</v>
      </c>
      <c r="AU62" s="12" t="s">
        <v>309</v>
      </c>
      <c r="AV62" s="12"/>
      <c r="AW62" s="12"/>
      <c r="AX62" s="12">
        <v>0</v>
      </c>
      <c r="AY62" s="12">
        <v>29</v>
      </c>
      <c r="AZ62" s="12">
        <v>0</v>
      </c>
      <c r="BA62" s="12" t="s">
        <v>3379</v>
      </c>
      <c r="BB62" s="12"/>
      <c r="BC62" s="12" t="s">
        <v>7388</v>
      </c>
      <c r="BD62" s="12"/>
      <c r="BE62" s="12" t="s">
        <v>2291</v>
      </c>
      <c r="BF62" s="12"/>
      <c r="BG62" s="12"/>
      <c r="BH62" s="12"/>
      <c r="BI62" s="12"/>
      <c r="BJ62" s="12"/>
      <c r="BK62" s="12"/>
      <c r="BL62" s="12" t="s">
        <v>2292</v>
      </c>
      <c r="BM62" s="12" t="s">
        <v>2292</v>
      </c>
      <c r="BN62" s="12" t="s">
        <v>2292</v>
      </c>
      <c r="BO62" s="12" t="s">
        <v>2292</v>
      </c>
      <c r="BP62" s="12"/>
      <c r="BQ62" s="12"/>
      <c r="BR62" s="12"/>
      <c r="BS62" s="12"/>
      <c r="BT62" s="12"/>
      <c r="BU62" s="12"/>
      <c r="BV62" s="12"/>
      <c r="BW62" s="12"/>
      <c r="BX62" s="12"/>
      <c r="BY62" s="18" t="s">
        <v>344</v>
      </c>
      <c r="BZ62" s="13" t="s">
        <v>6170</v>
      </c>
      <c r="CA62" s="13" t="s">
        <v>6170</v>
      </c>
      <c r="CB62" s="13" t="s">
        <v>312</v>
      </c>
      <c r="CC62" s="13"/>
      <c r="CD62" s="13" t="s">
        <v>6198</v>
      </c>
      <c r="CE62" s="13"/>
      <c r="CF62" s="13"/>
    </row>
    <row r="63" spans="1:84" ht="18.600000000000001" customHeight="1" x14ac:dyDescent="0.25">
      <c r="A63" s="60" t="s">
        <v>19</v>
      </c>
      <c r="B63" s="2" t="s">
        <v>314</v>
      </c>
      <c r="C63" s="3" t="s">
        <v>2877</v>
      </c>
      <c r="D63" s="12" t="s">
        <v>454</v>
      </c>
      <c r="E63" s="12" t="s">
        <v>453</v>
      </c>
      <c r="F63" s="12" t="s">
        <v>4290</v>
      </c>
      <c r="G63" s="25">
        <v>202</v>
      </c>
      <c r="H63" s="25">
        <v>164</v>
      </c>
      <c r="I63" s="25">
        <v>10</v>
      </c>
      <c r="J63" s="25">
        <v>28</v>
      </c>
      <c r="K63" s="25">
        <v>0</v>
      </c>
      <c r="L63" s="25">
        <v>0</v>
      </c>
      <c r="M63" s="25">
        <v>0</v>
      </c>
      <c r="N63" s="31">
        <v>0</v>
      </c>
      <c r="O63" s="25">
        <v>0</v>
      </c>
      <c r="P63" s="25">
        <v>0</v>
      </c>
      <c r="Q63" s="25">
        <v>0</v>
      </c>
      <c r="R63" s="25">
        <v>0</v>
      </c>
      <c r="S63" s="25">
        <v>0</v>
      </c>
      <c r="T63" s="25">
        <v>0</v>
      </c>
      <c r="U63" s="61">
        <v>0</v>
      </c>
      <c r="V63" s="58">
        <v>2.8E-3</v>
      </c>
      <c r="W63" s="12" t="s">
        <v>3926</v>
      </c>
      <c r="X63" s="33">
        <v>2.8999999999999998E-3</v>
      </c>
      <c r="Y63" s="12" t="s">
        <v>3926</v>
      </c>
      <c r="Z63" s="12" t="s">
        <v>3926</v>
      </c>
      <c r="AA63" s="12" t="s">
        <v>3926</v>
      </c>
      <c r="AB63" s="25">
        <v>3</v>
      </c>
      <c r="AC63" s="25">
        <v>0</v>
      </c>
      <c r="AD63" s="25">
        <v>3</v>
      </c>
      <c r="AE63" s="25">
        <v>0</v>
      </c>
      <c r="AF63" s="25">
        <v>0</v>
      </c>
      <c r="AG63" s="25">
        <v>0</v>
      </c>
      <c r="AH63" s="25">
        <v>0</v>
      </c>
      <c r="AI63" s="12">
        <v>0.01</v>
      </c>
      <c r="AJ63" s="25">
        <v>25698</v>
      </c>
      <c r="AK63" s="25">
        <v>3258</v>
      </c>
      <c r="AL63" s="33">
        <v>0.1452</v>
      </c>
      <c r="AM63" s="3" t="s">
        <v>2877</v>
      </c>
      <c r="AN63" s="12" t="s">
        <v>453</v>
      </c>
      <c r="AO63" s="12" t="s">
        <v>453</v>
      </c>
      <c r="AP63" s="12" t="str">
        <f>"489582157720938"</f>
        <v>489582157720938</v>
      </c>
      <c r="AQ63" s="12" t="s">
        <v>454</v>
      </c>
      <c r="AR63" s="12" t="s">
        <v>455</v>
      </c>
      <c r="AS63" s="12" t="s">
        <v>456</v>
      </c>
      <c r="AT63" s="12"/>
      <c r="AU63" s="12" t="s">
        <v>324</v>
      </c>
      <c r="AV63" s="12" t="s">
        <v>5982</v>
      </c>
      <c r="AW63" s="12" t="s">
        <v>457</v>
      </c>
      <c r="AX63" s="12">
        <v>13911</v>
      </c>
      <c r="AY63" s="12">
        <v>174</v>
      </c>
      <c r="AZ63" s="12">
        <v>13911</v>
      </c>
      <c r="BA63" s="12" t="s">
        <v>458</v>
      </c>
      <c r="BB63" s="12" t="s">
        <v>7079</v>
      </c>
      <c r="BC63" s="12" t="s">
        <v>7080</v>
      </c>
      <c r="BD63" s="12"/>
      <c r="BE63" s="12" t="s">
        <v>2291</v>
      </c>
      <c r="BF63" s="12"/>
      <c r="BG63" s="12"/>
      <c r="BH63" s="12"/>
      <c r="BI63" s="12" t="s">
        <v>459</v>
      </c>
      <c r="BJ63" s="12" t="s">
        <v>2878</v>
      </c>
      <c r="BK63" s="12"/>
      <c r="BL63" s="12" t="s">
        <v>2292</v>
      </c>
      <c r="BM63" s="12" t="s">
        <v>2292</v>
      </c>
      <c r="BN63" s="12" t="s">
        <v>2292</v>
      </c>
      <c r="BO63" s="12" t="s">
        <v>2292</v>
      </c>
      <c r="BP63" s="12" t="s">
        <v>460</v>
      </c>
      <c r="BQ63" s="12"/>
      <c r="BR63" s="12"/>
      <c r="BS63" s="12"/>
      <c r="BT63" s="12">
        <v>620394097</v>
      </c>
      <c r="BU63" s="12" t="s">
        <v>326</v>
      </c>
      <c r="BV63" s="12"/>
      <c r="BW63" s="12" t="s">
        <v>4974</v>
      </c>
      <c r="BX63" s="12"/>
      <c r="BY63" s="13" t="s">
        <v>313</v>
      </c>
      <c r="BZ63" s="13" t="s">
        <v>6170</v>
      </c>
      <c r="CA63" s="13" t="s">
        <v>6170</v>
      </c>
      <c r="CB63" s="13" t="s">
        <v>312</v>
      </c>
      <c r="CC63" s="13"/>
      <c r="CD63" s="13" t="s">
        <v>6198</v>
      </c>
      <c r="CE63" s="13"/>
      <c r="CF63" s="13"/>
    </row>
    <row r="64" spans="1:84" ht="18.600000000000001" customHeight="1" x14ac:dyDescent="0.25">
      <c r="A64" s="35" t="s">
        <v>19</v>
      </c>
      <c r="B64" s="2" t="s">
        <v>4998</v>
      </c>
      <c r="C64" s="3" t="s">
        <v>5000</v>
      </c>
      <c r="D64" s="12" t="s">
        <v>4999</v>
      </c>
      <c r="E64" s="12" t="s">
        <v>5170</v>
      </c>
      <c r="F64" s="12" t="s">
        <v>5171</v>
      </c>
      <c r="G64" s="25">
        <v>2038</v>
      </c>
      <c r="H64" s="25">
        <v>1675</v>
      </c>
      <c r="I64" s="25">
        <v>199</v>
      </c>
      <c r="J64" s="25">
        <v>109</v>
      </c>
      <c r="K64" s="25">
        <v>0</v>
      </c>
      <c r="L64" s="25">
        <v>0</v>
      </c>
      <c r="M64" s="25">
        <v>0</v>
      </c>
      <c r="N64" s="31">
        <v>0</v>
      </c>
      <c r="O64" s="25">
        <v>0</v>
      </c>
      <c r="P64" s="25">
        <v>0</v>
      </c>
      <c r="Q64" s="25">
        <v>41</v>
      </c>
      <c r="R64" s="25">
        <v>1</v>
      </c>
      <c r="S64" s="25">
        <v>7</v>
      </c>
      <c r="T64" s="25">
        <v>1</v>
      </c>
      <c r="U64" s="61">
        <v>5</v>
      </c>
      <c r="V64" s="58">
        <v>3.7000000000000002E-3</v>
      </c>
      <c r="W64" s="33">
        <v>3.8999999999999998E-3</v>
      </c>
      <c r="X64" s="12" t="s">
        <v>3926</v>
      </c>
      <c r="Y64" s="33">
        <v>0</v>
      </c>
      <c r="Z64" s="12" t="s">
        <v>3926</v>
      </c>
      <c r="AA64" s="12" t="s">
        <v>3926</v>
      </c>
      <c r="AB64" s="25">
        <v>15</v>
      </c>
      <c r="AC64" s="25">
        <v>14</v>
      </c>
      <c r="AD64" s="25">
        <v>0</v>
      </c>
      <c r="AE64" s="25">
        <v>1</v>
      </c>
      <c r="AF64" s="25">
        <v>0</v>
      </c>
      <c r="AG64" s="25">
        <v>0</v>
      </c>
      <c r="AH64" s="25">
        <v>0</v>
      </c>
      <c r="AI64" s="12">
        <v>0.03</v>
      </c>
      <c r="AJ64" s="25">
        <v>36308</v>
      </c>
      <c r="AK64" s="25">
        <v>0</v>
      </c>
      <c r="AL64" s="31">
        <v>0</v>
      </c>
      <c r="AM64" s="3" t="s">
        <v>5000</v>
      </c>
      <c r="AN64" s="12" t="s">
        <v>5170</v>
      </c>
      <c r="AO64" s="12" t="s">
        <v>5170</v>
      </c>
      <c r="AP64" s="12" t="str">
        <f>"560871457404173"</f>
        <v>560871457404173</v>
      </c>
      <c r="AQ64" s="12" t="s">
        <v>4999</v>
      </c>
      <c r="AR64" s="12"/>
      <c r="AS64" s="12" t="s">
        <v>5498</v>
      </c>
      <c r="AT64" s="12"/>
      <c r="AU64" s="12" t="s">
        <v>309</v>
      </c>
      <c r="AV64" s="12"/>
      <c r="AW64" s="12"/>
      <c r="AX64" s="12">
        <v>0</v>
      </c>
      <c r="AY64" s="12">
        <v>13</v>
      </c>
      <c r="AZ64" s="12">
        <v>0</v>
      </c>
      <c r="BA64" s="12" t="s">
        <v>5499</v>
      </c>
      <c r="BB64" s="12" t="s">
        <v>6076</v>
      </c>
      <c r="BC64" s="12" t="s">
        <v>7407</v>
      </c>
      <c r="BD64" s="12"/>
      <c r="BE64" s="12" t="s">
        <v>2291</v>
      </c>
      <c r="BF64" s="12"/>
      <c r="BG64" s="12"/>
      <c r="BH64" s="12"/>
      <c r="BI64" s="12"/>
      <c r="BJ64" s="12"/>
      <c r="BK64" s="12"/>
      <c r="BL64" s="12" t="s">
        <v>2292</v>
      </c>
      <c r="BM64" s="12" t="s">
        <v>2292</v>
      </c>
      <c r="BN64" s="12" t="s">
        <v>2292</v>
      </c>
      <c r="BO64" s="12" t="s">
        <v>2292</v>
      </c>
      <c r="BP64" s="12"/>
      <c r="BQ64" s="12"/>
      <c r="BR64" s="12"/>
      <c r="BS64" s="12"/>
      <c r="BT64" s="12"/>
      <c r="BU64" s="12"/>
      <c r="BV64" s="12"/>
      <c r="BW64" s="12" t="s">
        <v>5500</v>
      </c>
      <c r="BX64" s="12"/>
      <c r="BY64" s="13" t="s">
        <v>313</v>
      </c>
      <c r="BZ64" s="13" t="s">
        <v>312</v>
      </c>
      <c r="CA64" s="13" t="s">
        <v>6170</v>
      </c>
      <c r="CB64" s="13" t="s">
        <v>6197</v>
      </c>
      <c r="CC64" s="13"/>
      <c r="CD64" s="13" t="s">
        <v>6198</v>
      </c>
      <c r="CE64" s="13"/>
      <c r="CF64" s="13"/>
    </row>
    <row r="65" spans="1:2328" ht="18.600000000000001" customHeight="1" x14ac:dyDescent="0.25">
      <c r="A65" s="60" t="s">
        <v>19</v>
      </c>
      <c r="B65" s="2" t="s">
        <v>315</v>
      </c>
      <c r="C65" s="3" t="s">
        <v>3505</v>
      </c>
      <c r="D65" s="12" t="s">
        <v>461</v>
      </c>
      <c r="E65" s="12" t="s">
        <v>3574</v>
      </c>
      <c r="F65" s="12" t="s">
        <v>4080</v>
      </c>
      <c r="G65" s="25">
        <v>426625</v>
      </c>
      <c r="H65" s="25">
        <v>361199</v>
      </c>
      <c r="I65" s="25">
        <v>19699</v>
      </c>
      <c r="J65" s="25">
        <v>38004</v>
      </c>
      <c r="K65" s="25">
        <v>1241250</v>
      </c>
      <c r="L65" s="25">
        <v>158061</v>
      </c>
      <c r="M65" s="25">
        <v>1399311</v>
      </c>
      <c r="N65" s="31">
        <v>0.89</v>
      </c>
      <c r="O65" s="25">
        <v>89323</v>
      </c>
      <c r="P65" s="25">
        <v>14787</v>
      </c>
      <c r="Q65" s="25">
        <v>4723</v>
      </c>
      <c r="R65" s="25">
        <v>746</v>
      </c>
      <c r="S65" s="25">
        <v>611</v>
      </c>
      <c r="T65" s="25">
        <v>1134</v>
      </c>
      <c r="U65" s="61">
        <v>508</v>
      </c>
      <c r="V65" s="58">
        <v>1E-3</v>
      </c>
      <c r="W65" s="33">
        <v>2.2000000000000001E-3</v>
      </c>
      <c r="X65" s="33">
        <v>4.0000000000000002E-4</v>
      </c>
      <c r="Y65" s="33">
        <v>2.9999999999999997E-4</v>
      </c>
      <c r="Z65" s="33">
        <v>1.5E-3</v>
      </c>
      <c r="AA65" s="33">
        <v>1.4E-3</v>
      </c>
      <c r="AB65" s="25">
        <v>3814</v>
      </c>
      <c r="AC65" s="25">
        <v>1330</v>
      </c>
      <c r="AD65" s="25">
        <v>1986</v>
      </c>
      <c r="AE65" s="25">
        <v>11</v>
      </c>
      <c r="AF65" s="25">
        <v>254</v>
      </c>
      <c r="AG65" s="25">
        <v>174</v>
      </c>
      <c r="AH65" s="25">
        <v>59</v>
      </c>
      <c r="AI65" s="12">
        <v>8.69</v>
      </c>
      <c r="AJ65" s="25">
        <v>124590</v>
      </c>
      <c r="AK65" s="25">
        <v>47990</v>
      </c>
      <c r="AL65" s="33">
        <v>0.62649999999999995</v>
      </c>
      <c r="AM65" s="3" t="s">
        <v>3505</v>
      </c>
      <c r="AN65" s="12" t="s">
        <v>3574</v>
      </c>
      <c r="AO65" s="12" t="s">
        <v>3574</v>
      </c>
      <c r="AP65" s="12" t="str">
        <f>"308078472732607"</f>
        <v>308078472732607</v>
      </c>
      <c r="AQ65" s="12" t="s">
        <v>461</v>
      </c>
      <c r="AR65" s="12" t="s">
        <v>462</v>
      </c>
      <c r="AS65" s="12" t="s">
        <v>2536</v>
      </c>
      <c r="AT65" s="12"/>
      <c r="AU65" s="12" t="s">
        <v>324</v>
      </c>
      <c r="AV65" s="12" t="s">
        <v>5731</v>
      </c>
      <c r="AW65" s="12" t="s">
        <v>3575</v>
      </c>
      <c r="AX65" s="12">
        <v>253</v>
      </c>
      <c r="AY65" s="12">
        <v>1370</v>
      </c>
      <c r="AZ65" s="12">
        <v>253</v>
      </c>
      <c r="BA65" s="12" t="s">
        <v>3576</v>
      </c>
      <c r="BB65" s="12" t="s">
        <v>6608</v>
      </c>
      <c r="BC65" s="12" t="s">
        <v>6609</v>
      </c>
      <c r="BD65" s="12"/>
      <c r="BE65" s="12" t="s">
        <v>2291</v>
      </c>
      <c r="BF65" s="12"/>
      <c r="BG65" s="12"/>
      <c r="BH65" s="12"/>
      <c r="BI65" s="12" t="s">
        <v>463</v>
      </c>
      <c r="BJ65" s="12"/>
      <c r="BK65" s="12"/>
      <c r="BL65" s="12" t="s">
        <v>2292</v>
      </c>
      <c r="BM65" s="12" t="s">
        <v>2292</v>
      </c>
      <c r="BN65" s="12" t="s">
        <v>2292</v>
      </c>
      <c r="BO65" s="12" t="s">
        <v>2292</v>
      </c>
      <c r="BP65" s="12" t="s">
        <v>3577</v>
      </c>
      <c r="BQ65" s="12"/>
      <c r="BR65" s="12"/>
      <c r="BS65" s="12"/>
      <c r="BT65" s="12" t="s">
        <v>4686</v>
      </c>
      <c r="BU65" s="12" t="s">
        <v>326</v>
      </c>
      <c r="BV65" s="12"/>
      <c r="BW65" s="12" t="s">
        <v>4687</v>
      </c>
      <c r="BX65" s="12"/>
      <c r="BY65" s="13" t="s">
        <v>313</v>
      </c>
      <c r="BZ65" s="13" t="s">
        <v>312</v>
      </c>
      <c r="CA65" s="13"/>
      <c r="CB65" s="13"/>
      <c r="CC65" s="13"/>
      <c r="CD65" s="13"/>
      <c r="CE65" s="13"/>
      <c r="CF65" s="13"/>
    </row>
    <row r="66" spans="1:2328" ht="18.600000000000001" customHeight="1" x14ac:dyDescent="0.25">
      <c r="A66" s="35" t="s">
        <v>19</v>
      </c>
      <c r="B66" s="13" t="s">
        <v>335</v>
      </c>
      <c r="C66" s="3" t="s">
        <v>2735</v>
      </c>
      <c r="D66" s="12" t="s">
        <v>465</v>
      </c>
      <c r="E66" s="12" t="s">
        <v>5662</v>
      </c>
      <c r="F66" s="12" t="s">
        <v>4493</v>
      </c>
      <c r="G66" s="25">
        <v>3826</v>
      </c>
      <c r="H66" s="25">
        <v>2738</v>
      </c>
      <c r="I66" s="25">
        <v>227</v>
      </c>
      <c r="J66" s="25">
        <v>793</v>
      </c>
      <c r="K66" s="25">
        <v>10294</v>
      </c>
      <c r="L66" s="25">
        <v>25903</v>
      </c>
      <c r="M66" s="25">
        <v>36197</v>
      </c>
      <c r="N66" s="31">
        <v>0.28000000000000003</v>
      </c>
      <c r="O66" s="25">
        <v>0</v>
      </c>
      <c r="P66" s="25">
        <v>0</v>
      </c>
      <c r="Q66" s="25">
        <v>58</v>
      </c>
      <c r="R66" s="25">
        <v>2</v>
      </c>
      <c r="S66" s="25">
        <v>3</v>
      </c>
      <c r="T66" s="25">
        <v>2</v>
      </c>
      <c r="U66" s="61">
        <v>3</v>
      </c>
      <c r="V66" s="58">
        <v>4.0000000000000001E-3</v>
      </c>
      <c r="W66" s="33">
        <v>2.5000000000000001E-3</v>
      </c>
      <c r="X66" s="33">
        <v>1E-3</v>
      </c>
      <c r="Y66" s="33">
        <v>2.0000000000000001E-4</v>
      </c>
      <c r="Z66" s="33">
        <v>4.0000000000000001E-3</v>
      </c>
      <c r="AA66" s="33">
        <v>0.1022</v>
      </c>
      <c r="AB66" s="25">
        <v>164</v>
      </c>
      <c r="AC66" s="25">
        <v>124</v>
      </c>
      <c r="AD66" s="25">
        <v>3</v>
      </c>
      <c r="AE66" s="25">
        <v>5</v>
      </c>
      <c r="AF66" s="25">
        <v>30</v>
      </c>
      <c r="AG66" s="25">
        <v>0</v>
      </c>
      <c r="AH66" s="25">
        <v>2</v>
      </c>
      <c r="AI66" s="12">
        <v>0.37</v>
      </c>
      <c r="AJ66" s="25">
        <v>7447</v>
      </c>
      <c r="AK66" s="25">
        <v>3144</v>
      </c>
      <c r="AL66" s="33">
        <v>0.73070000000000002</v>
      </c>
      <c r="AM66" s="3" t="s">
        <v>2735</v>
      </c>
      <c r="AN66" s="12" t="s">
        <v>5376</v>
      </c>
      <c r="AO66" s="12" t="s">
        <v>5662</v>
      </c>
      <c r="AP66" s="12" t="str">
        <f>"898481620186007"</f>
        <v>898481620186007</v>
      </c>
      <c r="AQ66" s="12" t="s">
        <v>465</v>
      </c>
      <c r="AR66" s="12"/>
      <c r="AS66" s="12"/>
      <c r="AT66" s="12"/>
      <c r="AU66" s="12" t="s">
        <v>324</v>
      </c>
      <c r="AV66" s="12"/>
      <c r="AW66" s="12"/>
      <c r="AX66" s="12">
        <v>0</v>
      </c>
      <c r="AY66" s="12">
        <v>141</v>
      </c>
      <c r="AZ66" s="12">
        <v>0</v>
      </c>
      <c r="BA66" s="12" t="s">
        <v>5909</v>
      </c>
      <c r="BB66" s="12" t="s">
        <v>6888</v>
      </c>
      <c r="BC66" s="12" t="s">
        <v>6889</v>
      </c>
      <c r="BD66" s="12"/>
      <c r="BE66" s="12" t="s">
        <v>2291</v>
      </c>
      <c r="BF66" s="12"/>
      <c r="BG66" s="12"/>
      <c r="BH66" s="12"/>
      <c r="BI66" s="12"/>
      <c r="BJ66" s="12"/>
      <c r="BK66" s="12"/>
      <c r="BL66" s="12" t="s">
        <v>2292</v>
      </c>
      <c r="BM66" s="12" t="s">
        <v>2292</v>
      </c>
      <c r="BN66" s="12" t="s">
        <v>2292</v>
      </c>
      <c r="BO66" s="12" t="s">
        <v>2292</v>
      </c>
      <c r="BP66" s="12"/>
      <c r="BQ66" s="12"/>
      <c r="BR66" s="12"/>
      <c r="BS66" s="12"/>
      <c r="BT66" s="12" t="s">
        <v>5910</v>
      </c>
      <c r="BU66" s="12"/>
      <c r="BV66" s="12"/>
      <c r="BW66" s="12" t="s">
        <v>4696</v>
      </c>
      <c r="BX66" s="12"/>
      <c r="BY66" s="13" t="s">
        <v>313</v>
      </c>
      <c r="BZ66" s="13" t="s">
        <v>6170</v>
      </c>
      <c r="CA66" s="13" t="s">
        <v>6170</v>
      </c>
      <c r="CB66" s="13" t="s">
        <v>312</v>
      </c>
      <c r="CC66" s="13"/>
      <c r="CD66" s="13" t="s">
        <v>6198</v>
      </c>
      <c r="CE66" s="13"/>
      <c r="CF66" s="13"/>
    </row>
    <row r="67" spans="1:2328" ht="18.600000000000001" customHeight="1" x14ac:dyDescent="0.25">
      <c r="A67" s="35" t="s">
        <v>57</v>
      </c>
      <c r="B67" s="13" t="s">
        <v>470</v>
      </c>
      <c r="C67" s="3" t="s">
        <v>3124</v>
      </c>
      <c r="D67" s="12" t="s">
        <v>466</v>
      </c>
      <c r="E67" s="12"/>
      <c r="F67" s="12" t="s">
        <v>4490</v>
      </c>
      <c r="G67" s="25">
        <v>0</v>
      </c>
      <c r="H67" s="25">
        <v>0</v>
      </c>
      <c r="I67" s="25">
        <v>0</v>
      </c>
      <c r="J67" s="25">
        <v>0</v>
      </c>
      <c r="K67" s="25">
        <v>0</v>
      </c>
      <c r="L67" s="25">
        <v>0</v>
      </c>
      <c r="M67" s="25">
        <v>0</v>
      </c>
      <c r="N67" s="31">
        <v>0</v>
      </c>
      <c r="O67" s="25">
        <v>0</v>
      </c>
      <c r="P67" s="25">
        <v>0</v>
      </c>
      <c r="Q67" s="25">
        <v>0</v>
      </c>
      <c r="R67" s="25">
        <v>0</v>
      </c>
      <c r="S67" s="25">
        <v>0</v>
      </c>
      <c r="T67" s="25">
        <v>0</v>
      </c>
      <c r="U67" s="61">
        <v>0</v>
      </c>
      <c r="V67" s="59"/>
      <c r="W67" s="12" t="s">
        <v>3926</v>
      </c>
      <c r="X67" s="12" t="s">
        <v>3926</v>
      </c>
      <c r="Y67" s="12" t="s">
        <v>3926</v>
      </c>
      <c r="Z67" s="12" t="s">
        <v>3926</v>
      </c>
      <c r="AA67" s="12" t="s">
        <v>3926</v>
      </c>
      <c r="AB67" s="25" t="s">
        <v>3927</v>
      </c>
      <c r="AC67" s="25">
        <v>0</v>
      </c>
      <c r="AD67" s="25">
        <v>0</v>
      </c>
      <c r="AE67" s="25">
        <v>0</v>
      </c>
      <c r="AF67" s="25">
        <v>0</v>
      </c>
      <c r="AG67" s="25">
        <v>0</v>
      </c>
      <c r="AH67" s="25">
        <v>0</v>
      </c>
      <c r="AI67" s="12">
        <v>0</v>
      </c>
      <c r="AJ67" s="25">
        <v>5014</v>
      </c>
      <c r="AK67" s="25">
        <v>471</v>
      </c>
      <c r="AL67" s="33">
        <v>0.1037</v>
      </c>
      <c r="AM67" s="3" t="s">
        <v>3124</v>
      </c>
      <c r="AN67" s="12" t="s">
        <v>5319</v>
      </c>
      <c r="AO67" s="12"/>
      <c r="AP67" s="12" t="str">
        <f>"797477746936993"</f>
        <v>797477746936993</v>
      </c>
      <c r="AQ67" s="12" t="s">
        <v>466</v>
      </c>
      <c r="AR67" s="12"/>
      <c r="AS67" s="12" t="s">
        <v>467</v>
      </c>
      <c r="AT67" s="12"/>
      <c r="AU67" s="12" t="s">
        <v>309</v>
      </c>
      <c r="AV67" s="12"/>
      <c r="AW67" s="12"/>
      <c r="AX67" s="12">
        <v>0</v>
      </c>
      <c r="AY67" s="12">
        <v>10</v>
      </c>
      <c r="AZ67" s="12">
        <v>0</v>
      </c>
      <c r="BA67" s="12" t="s">
        <v>468</v>
      </c>
      <c r="BB67" s="12" t="s">
        <v>5866</v>
      </c>
      <c r="BC67" s="12" t="s">
        <v>6699</v>
      </c>
      <c r="BD67" s="12"/>
      <c r="BE67" s="12" t="s">
        <v>2291</v>
      </c>
      <c r="BF67" s="12"/>
      <c r="BG67" s="12"/>
      <c r="BH67" s="12"/>
      <c r="BI67" s="12"/>
      <c r="BJ67" s="12"/>
      <c r="BK67" s="12"/>
      <c r="BL67" s="12" t="s">
        <v>2292</v>
      </c>
      <c r="BM67" s="12" t="s">
        <v>2292</v>
      </c>
      <c r="BN67" s="12" t="s">
        <v>2292</v>
      </c>
      <c r="BO67" s="12" t="s">
        <v>2292</v>
      </c>
      <c r="BP67" s="12"/>
      <c r="BQ67" s="12"/>
      <c r="BR67" s="12"/>
      <c r="BS67" s="12"/>
      <c r="BT67" s="12"/>
      <c r="BU67" s="12"/>
      <c r="BV67" s="12"/>
      <c r="BW67" s="12" t="s">
        <v>469</v>
      </c>
      <c r="BX67" s="12"/>
      <c r="BY67" s="18" t="s">
        <v>344</v>
      </c>
      <c r="BZ67" s="13" t="s">
        <v>6170</v>
      </c>
      <c r="CA67" s="13" t="s">
        <v>6170</v>
      </c>
      <c r="CB67" s="13" t="s">
        <v>6197</v>
      </c>
      <c r="CC67" s="13"/>
      <c r="CD67" s="13" t="s">
        <v>6198</v>
      </c>
      <c r="CE67" s="13"/>
      <c r="CF67" s="13"/>
    </row>
    <row r="68" spans="1:2328" ht="18.600000000000001" customHeight="1" x14ac:dyDescent="0.25">
      <c r="A68" s="28" t="s">
        <v>57</v>
      </c>
      <c r="B68" s="12" t="s">
        <v>470</v>
      </c>
      <c r="C68" s="3" t="s">
        <v>6217</v>
      </c>
      <c r="D68" s="12" t="s">
        <v>6701</v>
      </c>
      <c r="E68" s="12" t="s">
        <v>6700</v>
      </c>
      <c r="F68" s="12" t="s">
        <v>7418</v>
      </c>
      <c r="G68" s="25">
        <v>106352</v>
      </c>
      <c r="H68" s="25">
        <v>83315</v>
      </c>
      <c r="I68" s="25">
        <v>11167</v>
      </c>
      <c r="J68" s="25">
        <v>9735</v>
      </c>
      <c r="K68" s="25">
        <v>0</v>
      </c>
      <c r="L68" s="25">
        <v>0</v>
      </c>
      <c r="M68" s="25">
        <v>0</v>
      </c>
      <c r="N68" s="31">
        <v>0</v>
      </c>
      <c r="O68" s="25">
        <v>0</v>
      </c>
      <c r="P68" s="25">
        <v>0</v>
      </c>
      <c r="Q68" s="25">
        <v>1763</v>
      </c>
      <c r="R68" s="25">
        <v>76</v>
      </c>
      <c r="S68" s="25">
        <v>95</v>
      </c>
      <c r="T68" s="25">
        <v>171</v>
      </c>
      <c r="U68" s="61">
        <v>30</v>
      </c>
      <c r="V68" s="58">
        <v>4.41E-2</v>
      </c>
      <c r="W68" s="33">
        <v>0</v>
      </c>
      <c r="X68" s="12" t="s">
        <v>3926</v>
      </c>
      <c r="Y68" s="33">
        <v>0</v>
      </c>
      <c r="Z68" s="12" t="s">
        <v>3926</v>
      </c>
      <c r="AA68" s="12" t="s">
        <v>3926</v>
      </c>
      <c r="AB68" s="25">
        <v>130</v>
      </c>
      <c r="AC68" s="25">
        <v>128</v>
      </c>
      <c r="AD68" s="25">
        <v>0</v>
      </c>
      <c r="AE68" s="25">
        <v>2</v>
      </c>
      <c r="AF68" s="25">
        <v>0</v>
      </c>
      <c r="AG68" s="25">
        <v>0</v>
      </c>
      <c r="AH68" s="25">
        <v>0</v>
      </c>
      <c r="AI68" s="12">
        <v>0.3</v>
      </c>
      <c r="AJ68" s="25">
        <v>18564</v>
      </c>
      <c r="AK68" s="25">
        <v>0</v>
      </c>
      <c r="AL68" s="31">
        <v>0</v>
      </c>
      <c r="AM68" s="3" t="s">
        <v>6217</v>
      </c>
      <c r="AN68" s="12" t="s">
        <v>6700</v>
      </c>
      <c r="AO68" s="12" t="s">
        <v>6700</v>
      </c>
      <c r="AP68" s="12" t="str">
        <f>"144802292594796"</f>
        <v>144802292594796</v>
      </c>
      <c r="AQ68" s="12" t="s">
        <v>6701</v>
      </c>
      <c r="AR68" s="12"/>
      <c r="AS68" s="12"/>
      <c r="AT68" s="12" t="s">
        <v>6702</v>
      </c>
      <c r="AU68" s="12" t="s">
        <v>309</v>
      </c>
      <c r="AV68" s="12"/>
      <c r="AW68" s="12"/>
      <c r="AX68" s="12">
        <v>0</v>
      </c>
      <c r="AY68" s="12">
        <v>144</v>
      </c>
      <c r="AZ68" s="12">
        <v>0</v>
      </c>
      <c r="BA68" s="12" t="s">
        <v>6703</v>
      </c>
      <c r="BB68" s="12" t="s">
        <v>6704</v>
      </c>
      <c r="BC68" s="12" t="s">
        <v>6705</v>
      </c>
      <c r="BD68" s="12"/>
      <c r="BE68" s="12" t="s">
        <v>2291</v>
      </c>
      <c r="BF68" s="12"/>
      <c r="BG68" s="12"/>
      <c r="BH68" s="12"/>
      <c r="BI68" s="12"/>
      <c r="BJ68" s="12"/>
      <c r="BK68" s="12"/>
      <c r="BL68" s="12" t="s">
        <v>2292</v>
      </c>
      <c r="BM68" s="12" t="s">
        <v>2292</v>
      </c>
      <c r="BN68" s="12" t="s">
        <v>2292</v>
      </c>
      <c r="BO68" s="12" t="s">
        <v>2292</v>
      </c>
      <c r="BP68" s="12"/>
      <c r="BQ68" s="12"/>
      <c r="BR68" s="12"/>
      <c r="BS68" s="12"/>
      <c r="BT68" s="12"/>
      <c r="BU68" s="12"/>
      <c r="BV68" s="12"/>
      <c r="BW68" s="12" t="s">
        <v>6706</v>
      </c>
      <c r="BX68" s="12"/>
      <c r="BY68" s="2"/>
      <c r="BZ68" s="13" t="s">
        <v>6170</v>
      </c>
      <c r="CA68" s="13" t="s">
        <v>6170</v>
      </c>
      <c r="CB68" s="13" t="s">
        <v>6246</v>
      </c>
      <c r="CC68" s="13"/>
      <c r="CD68" s="13" t="s">
        <v>6198</v>
      </c>
      <c r="CE68" s="13"/>
      <c r="CF68" s="13"/>
    </row>
    <row r="69" spans="1:2328" ht="18.600000000000001" customHeight="1" x14ac:dyDescent="0.25">
      <c r="A69" s="35" t="s">
        <v>57</v>
      </c>
      <c r="B69" s="13" t="s">
        <v>470</v>
      </c>
      <c r="C69" s="3" t="s">
        <v>2618</v>
      </c>
      <c r="D69" s="12" t="s">
        <v>471</v>
      </c>
      <c r="E69" s="12"/>
      <c r="F69" s="12" t="s">
        <v>4477</v>
      </c>
      <c r="G69" s="25">
        <v>6</v>
      </c>
      <c r="H69" s="25">
        <v>6</v>
      </c>
      <c r="I69" s="25">
        <v>0</v>
      </c>
      <c r="J69" s="25">
        <v>0</v>
      </c>
      <c r="K69" s="25">
        <v>0</v>
      </c>
      <c r="L69" s="25">
        <v>0</v>
      </c>
      <c r="M69" s="25">
        <v>0</v>
      </c>
      <c r="N69" s="31">
        <v>0</v>
      </c>
      <c r="O69" s="25">
        <v>0</v>
      </c>
      <c r="P69" s="25">
        <v>0</v>
      </c>
      <c r="Q69" s="25">
        <v>0</v>
      </c>
      <c r="R69" s="25">
        <v>0</v>
      </c>
      <c r="S69" s="25">
        <v>0</v>
      </c>
      <c r="T69" s="25">
        <v>0</v>
      </c>
      <c r="U69" s="61">
        <v>0</v>
      </c>
      <c r="V69" s="58">
        <v>1E-3</v>
      </c>
      <c r="W69" s="12" t="s">
        <v>3926</v>
      </c>
      <c r="X69" s="12" t="s">
        <v>3926</v>
      </c>
      <c r="Y69" s="33">
        <v>1E-3</v>
      </c>
      <c r="Z69" s="12" t="s">
        <v>3926</v>
      </c>
      <c r="AA69" s="12" t="s">
        <v>3926</v>
      </c>
      <c r="AB69" s="25">
        <v>1</v>
      </c>
      <c r="AC69" s="25">
        <v>0</v>
      </c>
      <c r="AD69" s="25">
        <v>0</v>
      </c>
      <c r="AE69" s="25">
        <v>1</v>
      </c>
      <c r="AF69" s="25">
        <v>0</v>
      </c>
      <c r="AG69" s="25">
        <v>0</v>
      </c>
      <c r="AH69" s="25">
        <v>0</v>
      </c>
      <c r="AI69" s="12">
        <v>0</v>
      </c>
      <c r="AJ69" s="25">
        <v>6150</v>
      </c>
      <c r="AK69" s="25">
        <v>554</v>
      </c>
      <c r="AL69" s="33">
        <v>9.9000000000000005E-2</v>
      </c>
      <c r="AM69" s="3" t="s">
        <v>2618</v>
      </c>
      <c r="AN69" s="12" t="s">
        <v>5320</v>
      </c>
      <c r="AO69" s="12"/>
      <c r="AP69" s="12" t="str">
        <f>"580510255379054"</f>
        <v>580510255379054</v>
      </c>
      <c r="AQ69" s="12" t="s">
        <v>471</v>
      </c>
      <c r="AR69" s="12" t="s">
        <v>472</v>
      </c>
      <c r="AS69" s="12" t="s">
        <v>2619</v>
      </c>
      <c r="AT69" s="12"/>
      <c r="AU69" s="12" t="s">
        <v>309</v>
      </c>
      <c r="AV69" s="12"/>
      <c r="AW69" s="12"/>
      <c r="AX69" s="12">
        <v>0</v>
      </c>
      <c r="AY69" s="12">
        <v>8</v>
      </c>
      <c r="AZ69" s="12">
        <v>0</v>
      </c>
      <c r="BA69" s="12" t="s">
        <v>473</v>
      </c>
      <c r="BB69" s="12"/>
      <c r="BC69" s="12" t="s">
        <v>6707</v>
      </c>
      <c r="BD69" s="12"/>
      <c r="BE69" s="12" t="s">
        <v>2291</v>
      </c>
      <c r="BF69" s="12"/>
      <c r="BG69" s="12"/>
      <c r="BH69" s="12"/>
      <c r="BI69" s="12"/>
      <c r="BJ69" s="12"/>
      <c r="BK69" s="12"/>
      <c r="BL69" s="12" t="s">
        <v>2292</v>
      </c>
      <c r="BM69" s="12" t="s">
        <v>2292</v>
      </c>
      <c r="BN69" s="12" t="s">
        <v>2292</v>
      </c>
      <c r="BO69" s="12" t="s">
        <v>2292</v>
      </c>
      <c r="BP69" s="12"/>
      <c r="BQ69" s="12"/>
      <c r="BR69" s="12"/>
      <c r="BS69" s="12"/>
      <c r="BT69" s="12"/>
      <c r="BU69" s="12"/>
      <c r="BV69" s="12"/>
      <c r="BW69" s="12"/>
      <c r="BX69" s="12"/>
      <c r="BY69" s="13" t="s">
        <v>313</v>
      </c>
      <c r="BZ69" s="13" t="s">
        <v>312</v>
      </c>
      <c r="CA69" s="13"/>
      <c r="CB69" s="13"/>
      <c r="CC69" s="13"/>
      <c r="CD69" s="13"/>
      <c r="CE69" s="13"/>
      <c r="CF69" s="13"/>
    </row>
    <row r="70" spans="1:2328" ht="18.600000000000001" customHeight="1" x14ac:dyDescent="0.25">
      <c r="A70" s="35" t="s">
        <v>57</v>
      </c>
      <c r="B70" s="2" t="s">
        <v>5001</v>
      </c>
      <c r="C70" s="3" t="s">
        <v>5002</v>
      </c>
      <c r="D70" s="12" t="s">
        <v>5105</v>
      </c>
      <c r="E70" s="12" t="s">
        <v>5106</v>
      </c>
      <c r="F70" s="12" t="s">
        <v>5107</v>
      </c>
      <c r="G70" s="25">
        <v>76527</v>
      </c>
      <c r="H70" s="25">
        <v>65558</v>
      </c>
      <c r="I70" s="25">
        <v>6328</v>
      </c>
      <c r="J70" s="25">
        <v>3588</v>
      </c>
      <c r="K70" s="25">
        <v>17480</v>
      </c>
      <c r="L70" s="25">
        <v>9411</v>
      </c>
      <c r="M70" s="25">
        <v>26891</v>
      </c>
      <c r="N70" s="31">
        <v>0.65</v>
      </c>
      <c r="O70" s="25">
        <v>0</v>
      </c>
      <c r="P70" s="25">
        <v>0</v>
      </c>
      <c r="Q70" s="25">
        <v>850</v>
      </c>
      <c r="R70" s="25">
        <v>49</v>
      </c>
      <c r="S70" s="25">
        <v>32</v>
      </c>
      <c r="T70" s="25">
        <v>109</v>
      </c>
      <c r="U70" s="61">
        <v>10</v>
      </c>
      <c r="V70" s="58">
        <v>1.0200000000000001E-2</v>
      </c>
      <c r="W70" s="33">
        <v>1.09E-2</v>
      </c>
      <c r="X70" s="33">
        <v>0</v>
      </c>
      <c r="Y70" s="33">
        <v>3.5000000000000001E-3</v>
      </c>
      <c r="Z70" s="33">
        <v>3.7000000000000002E-3</v>
      </c>
      <c r="AA70" s="33">
        <v>8.9999999999999998E-4</v>
      </c>
      <c r="AB70" s="25">
        <v>333</v>
      </c>
      <c r="AC70" s="25">
        <v>304</v>
      </c>
      <c r="AD70" s="25">
        <v>1</v>
      </c>
      <c r="AE70" s="25">
        <v>6</v>
      </c>
      <c r="AF70" s="25">
        <v>20</v>
      </c>
      <c r="AG70" s="25">
        <v>1</v>
      </c>
      <c r="AH70" s="25">
        <v>1</v>
      </c>
      <c r="AI70" s="12">
        <v>0.76</v>
      </c>
      <c r="AJ70" s="25">
        <v>23172</v>
      </c>
      <c r="AK70" s="25">
        <v>0</v>
      </c>
      <c r="AL70" s="31">
        <v>0</v>
      </c>
      <c r="AM70" s="3" t="s">
        <v>5002</v>
      </c>
      <c r="AN70" s="12" t="s">
        <v>5106</v>
      </c>
      <c r="AO70" s="12" t="s">
        <v>5106</v>
      </c>
      <c r="AP70" s="12" t="str">
        <f>"1992340321000432"</f>
        <v>1992340321000432</v>
      </c>
      <c r="AQ70" s="12" t="s">
        <v>5105</v>
      </c>
      <c r="AR70" s="12" t="s">
        <v>5290</v>
      </c>
      <c r="AS70" s="12" t="s">
        <v>5291</v>
      </c>
      <c r="AT70" s="12" t="s">
        <v>5292</v>
      </c>
      <c r="AU70" s="12" t="s">
        <v>309</v>
      </c>
      <c r="AV70" s="12"/>
      <c r="AW70" s="12"/>
      <c r="AX70" s="12">
        <v>0</v>
      </c>
      <c r="AY70" s="12">
        <v>209</v>
      </c>
      <c r="AZ70" s="12">
        <v>0</v>
      </c>
      <c r="BA70" s="12" t="s">
        <v>5293</v>
      </c>
      <c r="BB70" s="12"/>
      <c r="BC70" s="12" t="s">
        <v>6576</v>
      </c>
      <c r="BD70" s="12"/>
      <c r="BE70" s="12" t="s">
        <v>2291</v>
      </c>
      <c r="BF70" s="12"/>
      <c r="BG70" s="12"/>
      <c r="BH70" s="12"/>
      <c r="BI70" s="12" t="s">
        <v>5294</v>
      </c>
      <c r="BJ70" s="12"/>
      <c r="BK70" s="12"/>
      <c r="BL70" s="12" t="s">
        <v>2292</v>
      </c>
      <c r="BM70" s="12" t="s">
        <v>2292</v>
      </c>
      <c r="BN70" s="12" t="s">
        <v>2292</v>
      </c>
      <c r="BO70" s="12" t="s">
        <v>2292</v>
      </c>
      <c r="BP70" s="12"/>
      <c r="BQ70" s="12"/>
      <c r="BR70" s="12"/>
      <c r="BS70" s="12"/>
      <c r="BT70" s="12"/>
      <c r="BU70" s="12"/>
      <c r="BV70" s="12"/>
      <c r="BW70" s="12"/>
      <c r="BX70" s="12"/>
      <c r="BY70" s="13" t="s">
        <v>313</v>
      </c>
      <c r="BZ70" s="13" t="s">
        <v>312</v>
      </c>
      <c r="CA70" s="13" t="s">
        <v>6170</v>
      </c>
      <c r="CB70" s="13" t="s">
        <v>6201</v>
      </c>
      <c r="CC70" s="13"/>
      <c r="CD70" s="13" t="s">
        <v>6198</v>
      </c>
      <c r="CE70" s="13"/>
      <c r="CF70" s="13"/>
    </row>
    <row r="71" spans="1:2328" ht="18.600000000000001" customHeight="1" x14ac:dyDescent="0.25">
      <c r="A71" s="60" t="s">
        <v>20</v>
      </c>
      <c r="B71" s="2" t="s">
        <v>474</v>
      </c>
      <c r="C71" s="3" t="s">
        <v>6092</v>
      </c>
      <c r="D71" s="12" t="s">
        <v>5079</v>
      </c>
      <c r="E71" s="12" t="s">
        <v>6077</v>
      </c>
      <c r="F71" s="12" t="s">
        <v>3929</v>
      </c>
      <c r="G71" s="25">
        <v>20633</v>
      </c>
      <c r="H71" s="25">
        <v>17669</v>
      </c>
      <c r="I71" s="25">
        <v>870</v>
      </c>
      <c r="J71" s="25">
        <v>1132</v>
      </c>
      <c r="K71" s="25">
        <v>30332</v>
      </c>
      <c r="L71" s="25">
        <v>16213</v>
      </c>
      <c r="M71" s="25">
        <v>46545</v>
      </c>
      <c r="N71" s="31">
        <v>0.65</v>
      </c>
      <c r="O71" s="25">
        <v>18158</v>
      </c>
      <c r="P71" s="25">
        <v>2028</v>
      </c>
      <c r="Q71" s="25">
        <v>803</v>
      </c>
      <c r="R71" s="25">
        <v>14</v>
      </c>
      <c r="S71" s="25">
        <v>57</v>
      </c>
      <c r="T71" s="25">
        <v>70</v>
      </c>
      <c r="U71" s="61">
        <v>18</v>
      </c>
      <c r="V71" s="58">
        <v>2.0000000000000001E-4</v>
      </c>
      <c r="W71" s="33">
        <v>2.9999999999999997E-4</v>
      </c>
      <c r="X71" s="33">
        <v>1E-4</v>
      </c>
      <c r="Y71" s="33">
        <v>5.9999999999999995E-4</v>
      </c>
      <c r="Z71" s="33">
        <v>8.0000000000000004E-4</v>
      </c>
      <c r="AA71" s="33">
        <v>1E-4</v>
      </c>
      <c r="AB71" s="25">
        <v>1492</v>
      </c>
      <c r="AC71" s="25">
        <v>802</v>
      </c>
      <c r="AD71" s="25">
        <v>487</v>
      </c>
      <c r="AE71" s="25">
        <v>38</v>
      </c>
      <c r="AF71" s="25">
        <v>42</v>
      </c>
      <c r="AG71" s="25">
        <v>39</v>
      </c>
      <c r="AH71" s="25">
        <v>84</v>
      </c>
      <c r="AI71" s="12">
        <v>3.4</v>
      </c>
      <c r="AJ71" s="25">
        <v>58223</v>
      </c>
      <c r="AK71" s="25">
        <v>996</v>
      </c>
      <c r="AL71" s="33">
        <v>1.7399999999999999E-2</v>
      </c>
      <c r="AM71" s="3" t="s">
        <v>6092</v>
      </c>
      <c r="AN71" s="12" t="s">
        <v>6077</v>
      </c>
      <c r="AO71" s="12" t="s">
        <v>6077</v>
      </c>
      <c r="AP71" s="12" t="str">
        <f>"191185443558"</f>
        <v>191185443558</v>
      </c>
      <c r="AQ71" s="12" t="s">
        <v>5079</v>
      </c>
      <c r="AR71" s="12" t="s">
        <v>6101</v>
      </c>
      <c r="AS71" s="12" t="s">
        <v>6102</v>
      </c>
      <c r="AT71" s="12" t="s">
        <v>6103</v>
      </c>
      <c r="AU71" s="12" t="s">
        <v>319</v>
      </c>
      <c r="AV71" s="12"/>
      <c r="AW71" s="12"/>
      <c r="AX71" s="12">
        <v>0</v>
      </c>
      <c r="AY71" s="12">
        <v>866</v>
      </c>
      <c r="AZ71" s="12">
        <v>0</v>
      </c>
      <c r="BA71" s="12" t="s">
        <v>6104</v>
      </c>
      <c r="BB71" s="12"/>
      <c r="BC71" s="12" t="s">
        <v>6275</v>
      </c>
      <c r="BD71" s="12"/>
      <c r="BE71" s="12" t="s">
        <v>2291</v>
      </c>
      <c r="BF71" s="12"/>
      <c r="BG71" s="12"/>
      <c r="BH71" s="12"/>
      <c r="BI71" s="12" t="s">
        <v>6105</v>
      </c>
      <c r="BJ71" s="12"/>
      <c r="BK71" s="12"/>
      <c r="BL71" s="12" t="s">
        <v>2292</v>
      </c>
      <c r="BM71" s="12" t="s">
        <v>2292</v>
      </c>
      <c r="BN71" s="12" t="s">
        <v>2292</v>
      </c>
      <c r="BO71" s="12" t="s">
        <v>2291</v>
      </c>
      <c r="BP71" s="12"/>
      <c r="BQ71" s="12"/>
      <c r="BR71" s="12" t="s">
        <v>6106</v>
      </c>
      <c r="BS71" s="12"/>
      <c r="BT71" s="12"/>
      <c r="BU71" s="12"/>
      <c r="BV71" s="12"/>
      <c r="BW71" s="12"/>
      <c r="BX71" s="12"/>
      <c r="BY71" s="13" t="s">
        <v>313</v>
      </c>
      <c r="BZ71" s="13" t="s">
        <v>6170</v>
      </c>
      <c r="CA71" s="13" t="s">
        <v>6170</v>
      </c>
      <c r="CB71" s="13" t="s">
        <v>312</v>
      </c>
      <c r="CC71" s="13"/>
      <c r="CD71" s="13" t="s">
        <v>6198</v>
      </c>
      <c r="CE71" s="13"/>
      <c r="CF71" s="13"/>
    </row>
    <row r="72" spans="1:2328" ht="18.600000000000001" customHeight="1" x14ac:dyDescent="0.25">
      <c r="A72" s="60" t="s">
        <v>20</v>
      </c>
      <c r="B72" s="2" t="s">
        <v>314</v>
      </c>
      <c r="C72" s="3" t="s">
        <v>2874</v>
      </c>
      <c r="D72" s="12" t="s">
        <v>3323</v>
      </c>
      <c r="E72" s="12" t="s">
        <v>475</v>
      </c>
      <c r="F72" s="12" t="s">
        <v>4288</v>
      </c>
      <c r="G72" s="25">
        <v>1083243</v>
      </c>
      <c r="H72" s="25">
        <v>887341</v>
      </c>
      <c r="I72" s="25">
        <v>32073</v>
      </c>
      <c r="J72" s="25">
        <v>138025</v>
      </c>
      <c r="K72" s="25">
        <v>941872</v>
      </c>
      <c r="L72" s="25">
        <v>541384</v>
      </c>
      <c r="M72" s="25">
        <v>1483256</v>
      </c>
      <c r="N72" s="31">
        <v>0.64</v>
      </c>
      <c r="O72" s="25">
        <v>27763</v>
      </c>
      <c r="P72" s="25">
        <v>107681</v>
      </c>
      <c r="Q72" s="25">
        <v>19739</v>
      </c>
      <c r="R72" s="25">
        <v>1387</v>
      </c>
      <c r="S72" s="25">
        <v>2090</v>
      </c>
      <c r="T72" s="25">
        <v>1634</v>
      </c>
      <c r="U72" s="61">
        <v>950</v>
      </c>
      <c r="V72" s="58">
        <v>8.0000000000000004E-4</v>
      </c>
      <c r="W72" s="33">
        <v>8.9999999999999998E-4</v>
      </c>
      <c r="X72" s="33">
        <v>4.0000000000000002E-4</v>
      </c>
      <c r="Y72" s="33">
        <v>5.9999999999999995E-4</v>
      </c>
      <c r="Z72" s="33">
        <v>1.4E-3</v>
      </c>
      <c r="AA72" s="33">
        <v>2.9999999999999997E-4</v>
      </c>
      <c r="AB72" s="25">
        <v>2399</v>
      </c>
      <c r="AC72" s="25">
        <v>1244</v>
      </c>
      <c r="AD72" s="25">
        <v>29</v>
      </c>
      <c r="AE72" s="25">
        <v>919</v>
      </c>
      <c r="AF72" s="25">
        <v>93</v>
      </c>
      <c r="AG72" s="25">
        <v>8</v>
      </c>
      <c r="AH72" s="25">
        <v>106</v>
      </c>
      <c r="AI72" s="12">
        <v>5.46</v>
      </c>
      <c r="AJ72" s="25">
        <v>595881</v>
      </c>
      <c r="AK72" s="25">
        <v>86335</v>
      </c>
      <c r="AL72" s="33">
        <v>0.1694</v>
      </c>
      <c r="AM72" s="3" t="s">
        <v>2874</v>
      </c>
      <c r="AN72" s="12" t="s">
        <v>475</v>
      </c>
      <c r="AO72" s="12" t="s">
        <v>475</v>
      </c>
      <c r="AP72" s="12" t="str">
        <f>"184048778364022"</f>
        <v>184048778364022</v>
      </c>
      <c r="AQ72" s="12" t="s">
        <v>3323</v>
      </c>
      <c r="AR72" s="12" t="s">
        <v>4818</v>
      </c>
      <c r="AS72" s="12" t="s">
        <v>2875</v>
      </c>
      <c r="AT72" s="12"/>
      <c r="AU72" s="12" t="s">
        <v>324</v>
      </c>
      <c r="AV72" s="12" t="s">
        <v>5978</v>
      </c>
      <c r="AW72" s="12"/>
      <c r="AX72" s="12">
        <v>40120</v>
      </c>
      <c r="AY72" s="12">
        <v>6158</v>
      </c>
      <c r="AZ72" s="12">
        <v>40120</v>
      </c>
      <c r="BA72" s="12" t="s">
        <v>476</v>
      </c>
      <c r="BB72" s="12" t="s">
        <v>7074</v>
      </c>
      <c r="BC72" s="12" t="s">
        <v>7075</v>
      </c>
      <c r="BD72" s="12"/>
      <c r="BE72" s="12" t="s">
        <v>2291</v>
      </c>
      <c r="BF72" s="12"/>
      <c r="BG72" s="12"/>
      <c r="BH72" s="12"/>
      <c r="BI72" s="12" t="s">
        <v>4819</v>
      </c>
      <c r="BJ72" s="12"/>
      <c r="BK72" s="12"/>
      <c r="BL72" s="12" t="s">
        <v>2292</v>
      </c>
      <c r="BM72" s="12" t="s">
        <v>2292</v>
      </c>
      <c r="BN72" s="12" t="s">
        <v>2292</v>
      </c>
      <c r="BO72" s="12" t="s">
        <v>2291</v>
      </c>
      <c r="BP72" s="12"/>
      <c r="BQ72" s="12"/>
      <c r="BR72" s="12"/>
      <c r="BS72" s="12"/>
      <c r="BT72" s="12"/>
      <c r="BU72" s="12" t="s">
        <v>326</v>
      </c>
      <c r="BV72" s="12"/>
      <c r="BW72" s="12" t="s">
        <v>4820</v>
      </c>
      <c r="BX72" s="12"/>
      <c r="BY72" s="13" t="s">
        <v>313</v>
      </c>
      <c r="BZ72" s="13" t="s">
        <v>6170</v>
      </c>
      <c r="CA72" s="13" t="s">
        <v>6170</v>
      </c>
      <c r="CB72" s="13" t="s">
        <v>312</v>
      </c>
      <c r="CC72" s="13"/>
      <c r="CD72" s="13" t="s">
        <v>6198</v>
      </c>
      <c r="CE72" s="13"/>
      <c r="CF72" s="13"/>
    </row>
    <row r="73" spans="1:2328" ht="18.600000000000001" customHeight="1" x14ac:dyDescent="0.25">
      <c r="A73" s="60" t="s">
        <v>20</v>
      </c>
      <c r="B73" s="2" t="s">
        <v>4992</v>
      </c>
      <c r="C73" s="3" t="s">
        <v>4993</v>
      </c>
      <c r="D73" s="12" t="s">
        <v>5177</v>
      </c>
      <c r="E73" s="12"/>
      <c r="F73" s="12" t="s">
        <v>5178</v>
      </c>
      <c r="G73" s="25">
        <v>25419</v>
      </c>
      <c r="H73" s="25">
        <v>17801</v>
      </c>
      <c r="I73" s="25">
        <v>1786</v>
      </c>
      <c r="J73" s="25">
        <v>4416</v>
      </c>
      <c r="K73" s="25">
        <v>4598</v>
      </c>
      <c r="L73" s="25">
        <v>8278</v>
      </c>
      <c r="M73" s="25">
        <v>12876</v>
      </c>
      <c r="N73" s="31">
        <v>0.36</v>
      </c>
      <c r="O73" s="25">
        <v>1222</v>
      </c>
      <c r="P73" s="25">
        <v>3914</v>
      </c>
      <c r="Q73" s="25">
        <v>1294</v>
      </c>
      <c r="R73" s="25">
        <v>17</v>
      </c>
      <c r="S73" s="25">
        <v>16</v>
      </c>
      <c r="T73" s="25">
        <v>82</v>
      </c>
      <c r="U73" s="61">
        <v>7</v>
      </c>
      <c r="V73" s="58">
        <v>1.6899999999999998E-2</v>
      </c>
      <c r="W73" s="33">
        <v>1.78E-2</v>
      </c>
      <c r="X73" s="33">
        <v>1.0200000000000001E-2</v>
      </c>
      <c r="Y73" s="12" t="s">
        <v>3926</v>
      </c>
      <c r="Z73" s="33">
        <v>1.4200000000000001E-2</v>
      </c>
      <c r="AA73" s="33">
        <v>2.2000000000000001E-3</v>
      </c>
      <c r="AB73" s="25">
        <v>256</v>
      </c>
      <c r="AC73" s="25">
        <v>223</v>
      </c>
      <c r="AD73" s="25">
        <v>10</v>
      </c>
      <c r="AE73" s="25">
        <v>0</v>
      </c>
      <c r="AF73" s="25">
        <v>13</v>
      </c>
      <c r="AG73" s="25">
        <v>8</v>
      </c>
      <c r="AH73" s="25">
        <v>2</v>
      </c>
      <c r="AI73" s="12">
        <v>0.57999999999999996</v>
      </c>
      <c r="AJ73" s="25">
        <v>8165</v>
      </c>
      <c r="AK73" s="25">
        <v>0</v>
      </c>
      <c r="AL73" s="31">
        <v>0</v>
      </c>
      <c r="AM73" s="3" t="s">
        <v>4993</v>
      </c>
      <c r="AN73" s="12" t="s">
        <v>5229</v>
      </c>
      <c r="AO73" s="12"/>
      <c r="AP73" s="12" t="str">
        <f>"776372942486246"</f>
        <v>776372942486246</v>
      </c>
      <c r="AQ73" s="12" t="s">
        <v>5177</v>
      </c>
      <c r="AR73" s="12"/>
      <c r="AS73" s="12"/>
      <c r="AT73" s="12"/>
      <c r="AU73" s="12" t="s">
        <v>309</v>
      </c>
      <c r="AV73" s="12"/>
      <c r="AW73" s="12"/>
      <c r="AX73" s="12">
        <v>0</v>
      </c>
      <c r="AY73" s="12">
        <v>322</v>
      </c>
      <c r="AZ73" s="12">
        <v>0</v>
      </c>
      <c r="BA73" s="12" t="s">
        <v>5230</v>
      </c>
      <c r="BB73" s="12"/>
      <c r="BC73" s="12" t="s">
        <v>6293</v>
      </c>
      <c r="BD73" s="12"/>
      <c r="BE73" s="12" t="s">
        <v>2291</v>
      </c>
      <c r="BF73" s="12"/>
      <c r="BG73" s="12"/>
      <c r="BH73" s="12"/>
      <c r="BI73" s="12"/>
      <c r="BJ73" s="12"/>
      <c r="BK73" s="12"/>
      <c r="BL73" s="12" t="s">
        <v>2292</v>
      </c>
      <c r="BM73" s="12" t="s">
        <v>2292</v>
      </c>
      <c r="BN73" s="12" t="s">
        <v>2292</v>
      </c>
      <c r="BO73" s="12" t="s">
        <v>2292</v>
      </c>
      <c r="BP73" s="12"/>
      <c r="BQ73" s="12"/>
      <c r="BR73" s="12"/>
      <c r="BS73" s="12"/>
      <c r="BT73" s="12"/>
      <c r="BU73" s="12"/>
      <c r="BV73" s="12"/>
      <c r="BW73" s="12"/>
      <c r="BX73" s="12"/>
      <c r="BY73" s="13" t="s">
        <v>313</v>
      </c>
      <c r="BZ73" s="13" t="s">
        <v>6170</v>
      </c>
      <c r="CA73" s="13" t="s">
        <v>6170</v>
      </c>
      <c r="CB73" s="13" t="s">
        <v>312</v>
      </c>
      <c r="CC73" s="13"/>
      <c r="CD73" s="13" t="s">
        <v>6198</v>
      </c>
      <c r="CE73" s="13"/>
      <c r="CF73" s="13"/>
    </row>
    <row r="74" spans="1:2328" ht="18.600000000000001" customHeight="1" x14ac:dyDescent="0.25">
      <c r="A74" s="60" t="s">
        <v>20</v>
      </c>
      <c r="B74" s="2" t="s">
        <v>315</v>
      </c>
      <c r="C74" s="3" t="s">
        <v>2531</v>
      </c>
      <c r="D74" s="12" t="s">
        <v>478</v>
      </c>
      <c r="E74" s="12" t="s">
        <v>477</v>
      </c>
      <c r="F74" s="12" t="s">
        <v>4077</v>
      </c>
      <c r="G74" s="25">
        <v>103685</v>
      </c>
      <c r="H74" s="25">
        <v>85443</v>
      </c>
      <c r="I74" s="25">
        <v>5409</v>
      </c>
      <c r="J74" s="25">
        <v>10176</v>
      </c>
      <c r="K74" s="25">
        <v>589579</v>
      </c>
      <c r="L74" s="25">
        <v>47098</v>
      </c>
      <c r="M74" s="25">
        <v>636677</v>
      </c>
      <c r="N74" s="31">
        <v>0.93</v>
      </c>
      <c r="O74" s="25">
        <v>17554</v>
      </c>
      <c r="P74" s="25">
        <v>6164</v>
      </c>
      <c r="Q74" s="25">
        <v>1383</v>
      </c>
      <c r="R74" s="25">
        <v>281</v>
      </c>
      <c r="S74" s="25">
        <v>432</v>
      </c>
      <c r="T74" s="25">
        <v>244</v>
      </c>
      <c r="U74" s="61">
        <v>317</v>
      </c>
      <c r="V74" s="58">
        <v>8.9999999999999998E-4</v>
      </c>
      <c r="W74" s="33">
        <v>6.3E-3</v>
      </c>
      <c r="X74" s="33">
        <v>4.0000000000000002E-4</v>
      </c>
      <c r="Y74" s="33">
        <v>2.0000000000000001E-4</v>
      </c>
      <c r="Z74" s="33">
        <v>1.9199999999999998E-2</v>
      </c>
      <c r="AA74" s="33">
        <v>4.0000000000000002E-4</v>
      </c>
      <c r="AB74" s="25">
        <v>2122</v>
      </c>
      <c r="AC74" s="25">
        <v>143</v>
      </c>
      <c r="AD74" s="25">
        <v>1613</v>
      </c>
      <c r="AE74" s="25">
        <v>307</v>
      </c>
      <c r="AF74" s="25">
        <v>10</v>
      </c>
      <c r="AG74" s="25">
        <v>32</v>
      </c>
      <c r="AH74" s="25">
        <v>17</v>
      </c>
      <c r="AI74" s="12">
        <v>4.83</v>
      </c>
      <c r="AJ74" s="25">
        <v>57176</v>
      </c>
      <c r="AK74" s="25">
        <v>6420</v>
      </c>
      <c r="AL74" s="33">
        <v>0.1265</v>
      </c>
      <c r="AM74" s="3" t="s">
        <v>2531</v>
      </c>
      <c r="AN74" s="12" t="s">
        <v>477</v>
      </c>
      <c r="AO74" s="12" t="s">
        <v>477</v>
      </c>
      <c r="AP74" s="12" t="str">
        <f>"244922065530890"</f>
        <v>244922065530890</v>
      </c>
      <c r="AQ74" s="12" t="s">
        <v>478</v>
      </c>
      <c r="AR74" s="12" t="s">
        <v>3250</v>
      </c>
      <c r="AS74" s="12" t="s">
        <v>2532</v>
      </c>
      <c r="AT74" s="12"/>
      <c r="AU74" s="12" t="s">
        <v>6600</v>
      </c>
      <c r="AV74" s="12" t="s">
        <v>6601</v>
      </c>
      <c r="AW74" s="12"/>
      <c r="AX74" s="12">
        <v>27</v>
      </c>
      <c r="AY74" s="12">
        <v>216</v>
      </c>
      <c r="AZ74" s="12">
        <v>27</v>
      </c>
      <c r="BA74" s="12" t="s">
        <v>479</v>
      </c>
      <c r="BB74" s="12" t="s">
        <v>6602</v>
      </c>
      <c r="BC74" s="12" t="s">
        <v>6603</v>
      </c>
      <c r="BD74" s="12"/>
      <c r="BE74" s="12" t="s">
        <v>2291</v>
      </c>
      <c r="BF74" s="12"/>
      <c r="BG74" s="12"/>
      <c r="BH74" s="12"/>
      <c r="BI74" s="12" t="s">
        <v>5303</v>
      </c>
      <c r="BJ74" s="12"/>
      <c r="BK74" s="12"/>
      <c r="BL74" s="12" t="s">
        <v>2292</v>
      </c>
      <c r="BM74" s="12" t="s">
        <v>2292</v>
      </c>
      <c r="BN74" s="12" t="s">
        <v>2292</v>
      </c>
      <c r="BO74" s="12" t="s">
        <v>2291</v>
      </c>
      <c r="BP74" s="12" t="s">
        <v>3573</v>
      </c>
      <c r="BQ74" s="12"/>
      <c r="BR74" s="12"/>
      <c r="BS74" s="12"/>
      <c r="BT74" s="12">
        <v>101</v>
      </c>
      <c r="BU74" s="12" t="s">
        <v>326</v>
      </c>
      <c r="BV74" s="12"/>
      <c r="BW74" s="12" t="s">
        <v>480</v>
      </c>
      <c r="BX74" s="12"/>
      <c r="BY74" s="13" t="s">
        <v>313</v>
      </c>
      <c r="BZ74" s="13" t="s">
        <v>6172</v>
      </c>
      <c r="CA74" s="13" t="s">
        <v>6170</v>
      </c>
      <c r="CB74" s="13" t="s">
        <v>6200</v>
      </c>
      <c r="CC74" s="13"/>
      <c r="CD74" s="13" t="s">
        <v>6195</v>
      </c>
      <c r="CE74" s="13"/>
      <c r="CF74" s="13"/>
    </row>
    <row r="75" spans="1:2328" ht="18.600000000000001" customHeight="1" x14ac:dyDescent="0.25">
      <c r="A75" s="36" t="s">
        <v>20</v>
      </c>
      <c r="B75" s="2" t="s">
        <v>5715</v>
      </c>
      <c r="C75" s="10" t="s">
        <v>5719</v>
      </c>
      <c r="D75" s="12" t="s">
        <v>5893</v>
      </c>
      <c r="E75" s="12" t="s">
        <v>5892</v>
      </c>
      <c r="F75" s="12" t="s">
        <v>6081</v>
      </c>
      <c r="G75" s="25">
        <v>2819</v>
      </c>
      <c r="H75" s="25">
        <v>2426</v>
      </c>
      <c r="I75" s="25">
        <v>200</v>
      </c>
      <c r="J75" s="25">
        <v>120</v>
      </c>
      <c r="K75" s="25">
        <v>264</v>
      </c>
      <c r="L75" s="25">
        <v>857</v>
      </c>
      <c r="M75" s="25">
        <v>1121</v>
      </c>
      <c r="N75" s="31">
        <v>0.24</v>
      </c>
      <c r="O75" s="25">
        <v>110</v>
      </c>
      <c r="P75" s="25">
        <v>0</v>
      </c>
      <c r="Q75" s="25">
        <v>44</v>
      </c>
      <c r="R75" s="25">
        <v>1</v>
      </c>
      <c r="S75" s="25">
        <v>0</v>
      </c>
      <c r="T75" s="25">
        <v>28</v>
      </c>
      <c r="U75" s="61">
        <v>0</v>
      </c>
      <c r="V75" s="58">
        <v>1.3299999999999999E-2</v>
      </c>
      <c r="W75" s="33">
        <v>1.4E-2</v>
      </c>
      <c r="X75" s="33">
        <v>0</v>
      </c>
      <c r="Y75" s="33">
        <v>0</v>
      </c>
      <c r="Z75" s="33">
        <v>1.7299999999999999E-2</v>
      </c>
      <c r="AA75" s="12" t="s">
        <v>3926</v>
      </c>
      <c r="AB75" s="25">
        <v>41</v>
      </c>
      <c r="AC75" s="25">
        <v>35</v>
      </c>
      <c r="AD75" s="25">
        <v>1</v>
      </c>
      <c r="AE75" s="25">
        <v>2</v>
      </c>
      <c r="AF75" s="25">
        <v>1</v>
      </c>
      <c r="AG75" s="25">
        <v>2</v>
      </c>
      <c r="AH75" s="25">
        <v>0</v>
      </c>
      <c r="AI75" s="12">
        <v>0.09</v>
      </c>
      <c r="AJ75" s="25">
        <v>6559</v>
      </c>
      <c r="AK75" s="25">
        <v>0</v>
      </c>
      <c r="AL75" s="31">
        <v>0</v>
      </c>
      <c r="AM75" s="10" t="s">
        <v>5719</v>
      </c>
      <c r="AN75" s="12" t="s">
        <v>5892</v>
      </c>
      <c r="AO75" s="12" t="s">
        <v>5892</v>
      </c>
      <c r="AP75" s="12" t="str">
        <f>"719556411587726"</f>
        <v>719556411587726</v>
      </c>
      <c r="AQ75" s="12" t="s">
        <v>5893</v>
      </c>
      <c r="AR75" s="12" t="s">
        <v>5785</v>
      </c>
      <c r="AS75" s="12" t="s">
        <v>5894</v>
      </c>
      <c r="AT75" s="12" t="s">
        <v>5895</v>
      </c>
      <c r="AU75" s="12" t="s">
        <v>309</v>
      </c>
      <c r="AV75" s="12"/>
      <c r="AW75" s="12"/>
      <c r="AX75" s="12">
        <v>0</v>
      </c>
      <c r="AY75" s="12">
        <v>931</v>
      </c>
      <c r="AZ75" s="12">
        <v>0</v>
      </c>
      <c r="BA75" s="12" t="s">
        <v>5896</v>
      </c>
      <c r="BB75" s="12" t="s">
        <v>5897</v>
      </c>
      <c r="BC75" s="12" t="s">
        <v>6796</v>
      </c>
      <c r="BD75" s="12"/>
      <c r="BE75" s="12" t="s">
        <v>2291</v>
      </c>
      <c r="BF75" s="12"/>
      <c r="BG75" s="12"/>
      <c r="BH75" s="12"/>
      <c r="BI75" s="12"/>
      <c r="BJ75" s="12"/>
      <c r="BK75" s="12"/>
      <c r="BL75" s="12" t="s">
        <v>2292</v>
      </c>
      <c r="BM75" s="12" t="s">
        <v>2292</v>
      </c>
      <c r="BN75" s="12" t="s">
        <v>2292</v>
      </c>
      <c r="BO75" s="12" t="s">
        <v>2292</v>
      </c>
      <c r="BP75" s="12"/>
      <c r="BQ75" s="12"/>
      <c r="BR75" s="12"/>
      <c r="BS75" s="12"/>
      <c r="BT75" s="12"/>
      <c r="BU75" s="12"/>
      <c r="BV75" s="12"/>
      <c r="BW75" s="12" t="s">
        <v>4820</v>
      </c>
      <c r="BX75" s="12"/>
      <c r="BY75" s="13" t="s">
        <v>313</v>
      </c>
      <c r="BZ75" s="13" t="s">
        <v>6170</v>
      </c>
      <c r="CA75" s="13" t="s">
        <v>6170</v>
      </c>
      <c r="CB75" s="13" t="s">
        <v>6197</v>
      </c>
      <c r="CC75" s="13"/>
      <c r="CD75" s="13" t="s">
        <v>6198</v>
      </c>
      <c r="CE75" s="13"/>
      <c r="CF75" s="13"/>
    </row>
    <row r="76" spans="1:2328" ht="18.600000000000001" customHeight="1" x14ac:dyDescent="0.25">
      <c r="A76" s="36" t="s">
        <v>20</v>
      </c>
      <c r="B76" s="2" t="s">
        <v>335</v>
      </c>
      <c r="C76" s="10" t="s">
        <v>5720</v>
      </c>
      <c r="D76" s="12" t="s">
        <v>5784</v>
      </c>
      <c r="E76" s="12" t="s">
        <v>5783</v>
      </c>
      <c r="F76" s="12" t="s">
        <v>6083</v>
      </c>
      <c r="G76" s="25">
        <v>3654</v>
      </c>
      <c r="H76" s="25">
        <v>3005</v>
      </c>
      <c r="I76" s="25">
        <v>123</v>
      </c>
      <c r="J76" s="25">
        <v>471</v>
      </c>
      <c r="K76" s="25">
        <v>1476</v>
      </c>
      <c r="L76" s="25">
        <v>892</v>
      </c>
      <c r="M76" s="25">
        <v>2368</v>
      </c>
      <c r="N76" s="31">
        <v>0.62</v>
      </c>
      <c r="O76" s="25">
        <v>207</v>
      </c>
      <c r="P76" s="25">
        <v>337</v>
      </c>
      <c r="Q76" s="25">
        <v>43</v>
      </c>
      <c r="R76" s="25">
        <v>5</v>
      </c>
      <c r="S76" s="25">
        <v>0</v>
      </c>
      <c r="T76" s="25">
        <v>7</v>
      </c>
      <c r="U76" s="61">
        <v>0</v>
      </c>
      <c r="V76" s="58">
        <v>6.7999999999999996E-3</v>
      </c>
      <c r="W76" s="33">
        <v>7.0000000000000001E-3</v>
      </c>
      <c r="X76" s="33">
        <v>3.2000000000000002E-3</v>
      </c>
      <c r="Y76" s="12" t="s">
        <v>3926</v>
      </c>
      <c r="Z76" s="33">
        <v>5.4999999999999997E-3</v>
      </c>
      <c r="AA76" s="12" t="s">
        <v>3926</v>
      </c>
      <c r="AB76" s="25">
        <v>100</v>
      </c>
      <c r="AC76" s="25">
        <v>91</v>
      </c>
      <c r="AD76" s="25">
        <v>2</v>
      </c>
      <c r="AE76" s="25">
        <v>0</v>
      </c>
      <c r="AF76" s="25">
        <v>6</v>
      </c>
      <c r="AG76" s="25">
        <v>1</v>
      </c>
      <c r="AH76" s="25">
        <v>0</v>
      </c>
      <c r="AI76" s="12">
        <v>0.23</v>
      </c>
      <c r="AJ76" s="25">
        <v>5749</v>
      </c>
      <c r="AK76" s="25">
        <v>0</v>
      </c>
      <c r="AL76" s="31">
        <v>0</v>
      </c>
      <c r="AM76" s="10" t="s">
        <v>5720</v>
      </c>
      <c r="AN76" s="12" t="s">
        <v>5783</v>
      </c>
      <c r="AO76" s="12" t="s">
        <v>5783</v>
      </c>
      <c r="AP76" s="12" t="str">
        <f>"1460326694047307"</f>
        <v>1460326694047307</v>
      </c>
      <c r="AQ76" s="12" t="s">
        <v>5784</v>
      </c>
      <c r="AR76" s="12" t="s">
        <v>5785</v>
      </c>
      <c r="AS76" s="12"/>
      <c r="AT76" s="12"/>
      <c r="AU76" s="12" t="s">
        <v>324</v>
      </c>
      <c r="AV76" s="12" t="s">
        <v>5731</v>
      </c>
      <c r="AW76" s="12"/>
      <c r="AX76" s="12">
        <v>700</v>
      </c>
      <c r="AY76" s="12">
        <v>270</v>
      </c>
      <c r="AZ76" s="12">
        <v>700</v>
      </c>
      <c r="BA76" s="12" t="s">
        <v>5786</v>
      </c>
      <c r="BB76" s="12" t="s">
        <v>6453</v>
      </c>
      <c r="BC76" s="12" t="s">
        <v>6454</v>
      </c>
      <c r="BD76" s="12"/>
      <c r="BE76" s="12" t="s">
        <v>2291</v>
      </c>
      <c r="BF76" s="12"/>
      <c r="BG76" s="12"/>
      <c r="BH76" s="12"/>
      <c r="BI76" s="12"/>
      <c r="BJ76" s="12"/>
      <c r="BK76" s="12"/>
      <c r="BL76" s="12" t="s">
        <v>2292</v>
      </c>
      <c r="BM76" s="12" t="s">
        <v>2292</v>
      </c>
      <c r="BN76" s="12" t="s">
        <v>2292</v>
      </c>
      <c r="BO76" s="12" t="s">
        <v>2292</v>
      </c>
      <c r="BP76" s="12" t="s">
        <v>5787</v>
      </c>
      <c r="BQ76" s="12"/>
      <c r="BR76" s="12"/>
      <c r="BS76" s="12"/>
      <c r="BT76" s="12" t="s">
        <v>5788</v>
      </c>
      <c r="BU76" s="12" t="s">
        <v>326</v>
      </c>
      <c r="BV76" s="12"/>
      <c r="BW76" s="12" t="s">
        <v>5789</v>
      </c>
      <c r="BX76" s="12"/>
      <c r="BY76" s="13" t="s">
        <v>313</v>
      </c>
      <c r="BZ76" s="13" t="s">
        <v>6170</v>
      </c>
      <c r="CA76" s="13" t="s">
        <v>6170</v>
      </c>
      <c r="CB76" s="13" t="s">
        <v>6200</v>
      </c>
      <c r="CC76" s="13"/>
      <c r="CD76" s="13" t="s">
        <v>6198</v>
      </c>
      <c r="CE76" s="13"/>
      <c r="CF76" s="13"/>
    </row>
    <row r="77" spans="1:2328" ht="18.600000000000001" customHeight="1" x14ac:dyDescent="0.25">
      <c r="A77" s="60" t="s">
        <v>21</v>
      </c>
      <c r="B77" s="2" t="s">
        <v>486</v>
      </c>
      <c r="C77" s="3" t="s">
        <v>2802</v>
      </c>
      <c r="D77" s="12" t="s">
        <v>481</v>
      </c>
      <c r="E77" s="12" t="s">
        <v>482</v>
      </c>
      <c r="F77" s="12" t="s">
        <v>4232</v>
      </c>
      <c r="G77" s="25">
        <v>17168826</v>
      </c>
      <c r="H77" s="25">
        <v>14426892</v>
      </c>
      <c r="I77" s="25">
        <v>1328533</v>
      </c>
      <c r="J77" s="25">
        <v>899872</v>
      </c>
      <c r="K77" s="25">
        <v>28920219</v>
      </c>
      <c r="L77" s="25">
        <v>9171816</v>
      </c>
      <c r="M77" s="25">
        <v>38092035</v>
      </c>
      <c r="N77" s="31">
        <v>0.76</v>
      </c>
      <c r="O77" s="25">
        <v>740680</v>
      </c>
      <c r="P77" s="25">
        <v>2449519</v>
      </c>
      <c r="Q77" s="25">
        <v>375487</v>
      </c>
      <c r="R77" s="25">
        <v>37846</v>
      </c>
      <c r="S77" s="25">
        <v>49558</v>
      </c>
      <c r="T77" s="25">
        <v>38444</v>
      </c>
      <c r="U77" s="61">
        <v>11022</v>
      </c>
      <c r="V77" s="58">
        <v>2.2000000000000001E-3</v>
      </c>
      <c r="W77" s="33">
        <v>2.8999999999999998E-3</v>
      </c>
      <c r="X77" s="33">
        <v>4.0000000000000002E-4</v>
      </c>
      <c r="Y77" s="33">
        <v>1.1999999999999999E-3</v>
      </c>
      <c r="Z77" s="33">
        <v>1.6999999999999999E-3</v>
      </c>
      <c r="AA77" s="33">
        <v>4.0000000000000002E-4</v>
      </c>
      <c r="AB77" s="25">
        <v>2387</v>
      </c>
      <c r="AC77" s="25">
        <v>1429</v>
      </c>
      <c r="AD77" s="25">
        <v>77</v>
      </c>
      <c r="AE77" s="25">
        <v>270</v>
      </c>
      <c r="AF77" s="25">
        <v>520</v>
      </c>
      <c r="AG77" s="25">
        <v>18</v>
      </c>
      <c r="AH77" s="25">
        <v>73</v>
      </c>
      <c r="AI77" s="12">
        <v>5.44</v>
      </c>
      <c r="AJ77" s="25">
        <v>3508604</v>
      </c>
      <c r="AK77" s="25">
        <v>695472</v>
      </c>
      <c r="AL77" s="33">
        <v>0.2472</v>
      </c>
      <c r="AM77" s="3" t="s">
        <v>2802</v>
      </c>
      <c r="AN77" s="12" t="s">
        <v>482</v>
      </c>
      <c r="AO77" s="12" t="s">
        <v>482</v>
      </c>
      <c r="AP77" s="12" t="str">
        <f>"148874415141120"</f>
        <v>148874415141120</v>
      </c>
      <c r="AQ77" s="12" t="s">
        <v>481</v>
      </c>
      <c r="AR77" s="12" t="s">
        <v>3230</v>
      </c>
      <c r="AS77" s="12" t="s">
        <v>483</v>
      </c>
      <c r="AT77" s="12"/>
      <c r="AU77" s="12" t="s">
        <v>309</v>
      </c>
      <c r="AV77" s="12"/>
      <c r="AW77" s="12"/>
      <c r="AX77" s="12">
        <v>0</v>
      </c>
      <c r="AY77" s="12">
        <v>252569</v>
      </c>
      <c r="AZ77" s="12">
        <v>0</v>
      </c>
      <c r="BA77" s="12" t="s">
        <v>484</v>
      </c>
      <c r="BB77" s="12" t="s">
        <v>5938</v>
      </c>
      <c r="BC77" s="12" t="s">
        <v>6967</v>
      </c>
      <c r="BD77" s="12" t="s">
        <v>483</v>
      </c>
      <c r="BE77" s="12" t="s">
        <v>2291</v>
      </c>
      <c r="BF77" s="12"/>
      <c r="BG77" s="12"/>
      <c r="BH77" s="12"/>
      <c r="BI77" s="12"/>
      <c r="BJ77" s="12"/>
      <c r="BK77" s="12"/>
      <c r="BL77" s="12" t="s">
        <v>2292</v>
      </c>
      <c r="BM77" s="12" t="s">
        <v>2292</v>
      </c>
      <c r="BN77" s="12" t="s">
        <v>2292</v>
      </c>
      <c r="BO77" s="12" t="s">
        <v>2291</v>
      </c>
      <c r="BP77" s="12"/>
      <c r="BQ77" s="12"/>
      <c r="BR77" s="12"/>
      <c r="BS77" s="12" t="s">
        <v>485</v>
      </c>
      <c r="BT77" s="12"/>
      <c r="BU77" s="12"/>
      <c r="BV77" s="12"/>
      <c r="BW77" s="12">
        <v>100</v>
      </c>
      <c r="BX77" s="12"/>
      <c r="BY77" s="13" t="s">
        <v>313</v>
      </c>
      <c r="BZ77" s="13" t="s">
        <v>312</v>
      </c>
      <c r="CA77" s="13"/>
      <c r="CB77" s="13"/>
      <c r="CC77" s="13"/>
      <c r="CD77" s="13"/>
      <c r="CE77" s="13"/>
      <c r="CF77" s="13" t="s">
        <v>6178</v>
      </c>
    </row>
    <row r="78" spans="1:2328" ht="18.600000000000001" customHeight="1" x14ac:dyDescent="0.25">
      <c r="A78" s="34" t="s">
        <v>21</v>
      </c>
      <c r="B78" s="7" t="s">
        <v>314</v>
      </c>
      <c r="C78" s="3" t="s">
        <v>2904</v>
      </c>
      <c r="D78" s="12" t="s">
        <v>502</v>
      </c>
      <c r="E78" s="12" t="s">
        <v>501</v>
      </c>
      <c r="F78" s="12" t="s">
        <v>4308</v>
      </c>
      <c r="G78" s="25">
        <v>2352</v>
      </c>
      <c r="H78" s="25">
        <v>2104</v>
      </c>
      <c r="I78" s="25">
        <v>146</v>
      </c>
      <c r="J78" s="25">
        <v>65</v>
      </c>
      <c r="K78" s="25">
        <v>642</v>
      </c>
      <c r="L78" s="25">
        <v>105</v>
      </c>
      <c r="M78" s="25">
        <v>747</v>
      </c>
      <c r="N78" s="31">
        <v>0.86</v>
      </c>
      <c r="O78" s="25">
        <v>11009</v>
      </c>
      <c r="P78" s="25">
        <v>0</v>
      </c>
      <c r="Q78" s="25">
        <v>26</v>
      </c>
      <c r="R78" s="25">
        <v>0</v>
      </c>
      <c r="S78" s="25">
        <v>1</v>
      </c>
      <c r="T78" s="25">
        <v>9</v>
      </c>
      <c r="U78" s="61">
        <v>1</v>
      </c>
      <c r="V78" s="58">
        <v>5.0000000000000001E-4</v>
      </c>
      <c r="W78" s="33">
        <v>5.0000000000000001E-4</v>
      </c>
      <c r="X78" s="33">
        <v>2.9999999999999997E-4</v>
      </c>
      <c r="Y78" s="33">
        <v>5.9999999999999995E-4</v>
      </c>
      <c r="Z78" s="33">
        <v>1.4E-3</v>
      </c>
      <c r="AA78" s="33">
        <v>5.0000000000000001E-4</v>
      </c>
      <c r="AB78" s="25">
        <v>196</v>
      </c>
      <c r="AC78" s="25">
        <v>137</v>
      </c>
      <c r="AD78" s="25">
        <v>15</v>
      </c>
      <c r="AE78" s="25">
        <v>7</v>
      </c>
      <c r="AF78" s="25">
        <v>1</v>
      </c>
      <c r="AG78" s="25">
        <v>33</v>
      </c>
      <c r="AH78" s="25">
        <v>3</v>
      </c>
      <c r="AI78" s="12">
        <v>0.45</v>
      </c>
      <c r="AJ78" s="25">
        <v>24857</v>
      </c>
      <c r="AK78" s="25">
        <v>896</v>
      </c>
      <c r="AL78" s="33">
        <v>3.7400000000000003E-2</v>
      </c>
      <c r="AM78" s="3" t="s">
        <v>2904</v>
      </c>
      <c r="AN78" s="12" t="s">
        <v>501</v>
      </c>
      <c r="AO78" s="12" t="s">
        <v>501</v>
      </c>
      <c r="AP78" s="12" t="str">
        <f>"147569985444848"</f>
        <v>147569985444848</v>
      </c>
      <c r="AQ78" s="12" t="s">
        <v>502</v>
      </c>
      <c r="AR78" s="12"/>
      <c r="AS78" s="12" t="s">
        <v>503</v>
      </c>
      <c r="AT78" s="12"/>
      <c r="AU78" s="12" t="s">
        <v>324</v>
      </c>
      <c r="AV78" s="12"/>
      <c r="AW78" s="12"/>
      <c r="AX78" s="12">
        <v>0</v>
      </c>
      <c r="AY78" s="12">
        <v>52</v>
      </c>
      <c r="AZ78" s="12">
        <v>0</v>
      </c>
      <c r="BA78" s="12" t="s">
        <v>504</v>
      </c>
      <c r="BB78" s="12"/>
      <c r="BC78" s="12" t="s">
        <v>7120</v>
      </c>
      <c r="BD78" s="12"/>
      <c r="BE78" s="12" t="s">
        <v>2291</v>
      </c>
      <c r="BF78" s="12"/>
      <c r="BG78" s="12"/>
      <c r="BH78" s="12"/>
      <c r="BI78" s="12"/>
      <c r="BJ78" s="12"/>
      <c r="BK78" s="12"/>
      <c r="BL78" s="12" t="s">
        <v>2292</v>
      </c>
      <c r="BM78" s="12" t="s">
        <v>2292</v>
      </c>
      <c r="BN78" s="12" t="s">
        <v>2292</v>
      </c>
      <c r="BO78" s="12" t="s">
        <v>2292</v>
      </c>
      <c r="BP78" s="12"/>
      <c r="BQ78" s="12"/>
      <c r="BR78" s="12"/>
      <c r="BS78" s="12"/>
      <c r="BT78" s="12"/>
      <c r="BU78" s="12"/>
      <c r="BV78" s="12"/>
      <c r="BW78" s="12"/>
      <c r="BX78" s="12"/>
      <c r="BY78" s="13" t="s">
        <v>313</v>
      </c>
      <c r="BZ78" s="13" t="s">
        <v>6172</v>
      </c>
      <c r="CA78" s="13" t="s">
        <v>6170</v>
      </c>
      <c r="CB78" s="13" t="s">
        <v>312</v>
      </c>
      <c r="CC78" s="13"/>
      <c r="CD78" s="13" t="s">
        <v>6198</v>
      </c>
      <c r="CE78" s="13"/>
      <c r="CF78" s="13"/>
    </row>
    <row r="79" spans="1:2328" ht="18.600000000000001" customHeight="1" x14ac:dyDescent="0.25">
      <c r="A79" s="60" t="s">
        <v>21</v>
      </c>
      <c r="B79" s="2" t="s">
        <v>314</v>
      </c>
      <c r="C79" s="3" t="s">
        <v>2997</v>
      </c>
      <c r="D79" s="12" t="s">
        <v>487</v>
      </c>
      <c r="E79" s="12" t="s">
        <v>22</v>
      </c>
      <c r="F79" s="12" t="s">
        <v>4367</v>
      </c>
      <c r="G79" s="25">
        <v>84255</v>
      </c>
      <c r="H79" s="25">
        <v>51992</v>
      </c>
      <c r="I79" s="25">
        <v>16871</v>
      </c>
      <c r="J79" s="25">
        <v>10742</v>
      </c>
      <c r="K79" s="25">
        <v>136030</v>
      </c>
      <c r="L79" s="25">
        <v>542152</v>
      </c>
      <c r="M79" s="25">
        <v>678182</v>
      </c>
      <c r="N79" s="31">
        <v>0.2</v>
      </c>
      <c r="O79" s="25">
        <v>117074</v>
      </c>
      <c r="P79" s="25">
        <v>57796</v>
      </c>
      <c r="Q79" s="25">
        <v>3624</v>
      </c>
      <c r="R79" s="25">
        <v>170</v>
      </c>
      <c r="S79" s="25">
        <v>155</v>
      </c>
      <c r="T79" s="25">
        <v>566</v>
      </c>
      <c r="U79" s="61">
        <v>135</v>
      </c>
      <c r="V79" s="58">
        <v>1.8E-3</v>
      </c>
      <c r="W79" s="33">
        <v>1.4E-3</v>
      </c>
      <c r="X79" s="33">
        <v>4.0000000000000002E-4</v>
      </c>
      <c r="Y79" s="33">
        <v>2.2000000000000001E-3</v>
      </c>
      <c r="Z79" s="33">
        <v>7.4999999999999997E-3</v>
      </c>
      <c r="AA79" s="33">
        <v>5.0000000000000001E-4</v>
      </c>
      <c r="AB79" s="25">
        <v>294</v>
      </c>
      <c r="AC79" s="25">
        <v>145</v>
      </c>
      <c r="AD79" s="25">
        <v>12</v>
      </c>
      <c r="AE79" s="25">
        <v>66</v>
      </c>
      <c r="AF79" s="25">
        <v>18</v>
      </c>
      <c r="AG79" s="25">
        <v>32</v>
      </c>
      <c r="AH79" s="25">
        <v>21</v>
      </c>
      <c r="AI79" s="12">
        <v>0.67</v>
      </c>
      <c r="AJ79" s="25">
        <v>183771</v>
      </c>
      <c r="AK79" s="25">
        <v>49718</v>
      </c>
      <c r="AL79" s="33">
        <v>0.37090000000000001</v>
      </c>
      <c r="AM79" s="3" t="s">
        <v>2997</v>
      </c>
      <c r="AN79" s="12" t="s">
        <v>22</v>
      </c>
      <c r="AO79" s="12" t="s">
        <v>22</v>
      </c>
      <c r="AP79" s="12" t="str">
        <f>"623565507658977"</f>
        <v>623565507658977</v>
      </c>
      <c r="AQ79" s="12" t="s">
        <v>487</v>
      </c>
      <c r="AR79" s="12"/>
      <c r="AS79" s="12" t="s">
        <v>488</v>
      </c>
      <c r="AT79" s="12"/>
      <c r="AU79" s="12" t="s">
        <v>324</v>
      </c>
      <c r="AV79" s="12"/>
      <c r="AW79" s="12"/>
      <c r="AX79" s="12">
        <v>0</v>
      </c>
      <c r="AY79" s="12">
        <v>2382</v>
      </c>
      <c r="AZ79" s="12">
        <v>0</v>
      </c>
      <c r="BA79" s="12" t="s">
        <v>489</v>
      </c>
      <c r="BB79" s="12"/>
      <c r="BC79" s="12" t="s">
        <v>7259</v>
      </c>
      <c r="BD79" s="12"/>
      <c r="BE79" s="12" t="s">
        <v>2291</v>
      </c>
      <c r="BF79" s="12"/>
      <c r="BG79" s="12"/>
      <c r="BH79" s="12"/>
      <c r="BI79" s="12"/>
      <c r="BJ79" s="12"/>
      <c r="BK79" s="12"/>
      <c r="BL79" s="12" t="s">
        <v>2292</v>
      </c>
      <c r="BM79" s="12" t="s">
        <v>2292</v>
      </c>
      <c r="BN79" s="12" t="s">
        <v>2292</v>
      </c>
      <c r="BO79" s="12" t="s">
        <v>2292</v>
      </c>
      <c r="BP79" s="12"/>
      <c r="BQ79" s="12"/>
      <c r="BR79" s="12"/>
      <c r="BS79" s="12"/>
      <c r="BT79" s="12"/>
      <c r="BU79" s="12"/>
      <c r="BV79" s="12"/>
      <c r="BW79" s="12"/>
      <c r="BX79" s="12"/>
      <c r="BY79" s="13" t="s">
        <v>313</v>
      </c>
      <c r="BZ79" s="13" t="s">
        <v>6170</v>
      </c>
      <c r="CA79" s="13" t="s">
        <v>6170</v>
      </c>
      <c r="CB79" s="13" t="s">
        <v>312</v>
      </c>
      <c r="CC79" s="13"/>
      <c r="CD79" s="13" t="s">
        <v>6198</v>
      </c>
      <c r="CE79" s="13"/>
      <c r="CF79" s="13"/>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c r="IW79" s="26"/>
      <c r="IX79" s="26"/>
      <c r="IY79" s="26"/>
      <c r="IZ79" s="26"/>
      <c r="JA79" s="26"/>
      <c r="JB79" s="26"/>
      <c r="JC79" s="26"/>
      <c r="JD79" s="26"/>
      <c r="JE79" s="26"/>
      <c r="JF79" s="26"/>
      <c r="JG79" s="26"/>
      <c r="JH79" s="26"/>
      <c r="JI79" s="26"/>
      <c r="JJ79" s="26"/>
      <c r="JK79" s="26"/>
      <c r="JL79" s="26"/>
      <c r="JM79" s="26"/>
      <c r="JN79" s="26"/>
      <c r="JO79" s="26"/>
      <c r="JP79" s="26"/>
      <c r="JQ79" s="26"/>
      <c r="JR79" s="26"/>
      <c r="JS79" s="26"/>
      <c r="JT79" s="26"/>
      <c r="JU79" s="26"/>
      <c r="JV79" s="26"/>
      <c r="JW79" s="26"/>
      <c r="JX79" s="26"/>
      <c r="JY79" s="26"/>
      <c r="JZ79" s="26"/>
      <c r="KA79" s="26"/>
      <c r="KB79" s="26"/>
      <c r="KC79" s="26"/>
      <c r="KD79" s="26"/>
      <c r="KE79" s="26"/>
      <c r="KF79" s="26"/>
      <c r="KG79" s="26"/>
      <c r="KH79" s="26"/>
      <c r="KI79" s="26"/>
      <c r="KJ79" s="26"/>
      <c r="KK79" s="26"/>
      <c r="KL79" s="26"/>
      <c r="KM79" s="26"/>
      <c r="KN79" s="26"/>
      <c r="KO79" s="26"/>
      <c r="KP79" s="26"/>
      <c r="KQ79" s="26"/>
      <c r="KR79" s="26"/>
      <c r="KS79" s="26"/>
      <c r="KT79" s="26"/>
      <c r="KU79" s="26"/>
      <c r="KV79" s="26"/>
      <c r="KW79" s="26"/>
      <c r="KX79" s="26"/>
      <c r="KY79" s="26"/>
      <c r="KZ79" s="26"/>
      <c r="LA79" s="26"/>
      <c r="LB79" s="26"/>
      <c r="LC79" s="26"/>
      <c r="LD79" s="26"/>
      <c r="LE79" s="26"/>
      <c r="LF79" s="26"/>
      <c r="LG79" s="26"/>
      <c r="LH79" s="26"/>
      <c r="LI79" s="26"/>
      <c r="LJ79" s="26"/>
      <c r="LK79" s="26"/>
      <c r="LL79" s="26"/>
      <c r="LM79" s="26"/>
      <c r="LN79" s="26"/>
      <c r="LO79" s="26"/>
      <c r="LP79" s="26"/>
      <c r="LQ79" s="26"/>
      <c r="LR79" s="26"/>
      <c r="LS79" s="26"/>
      <c r="LT79" s="26"/>
      <c r="LU79" s="26"/>
      <c r="LV79" s="26"/>
      <c r="LW79" s="26"/>
      <c r="LX79" s="26"/>
      <c r="LY79" s="26"/>
      <c r="LZ79" s="26"/>
      <c r="MA79" s="26"/>
      <c r="MB79" s="26"/>
      <c r="MC79" s="26"/>
      <c r="MD79" s="26"/>
      <c r="ME79" s="26"/>
      <c r="MF79" s="26"/>
      <c r="MG79" s="26"/>
      <c r="MH79" s="26"/>
      <c r="MI79" s="26"/>
      <c r="MJ79" s="26"/>
      <c r="MK79" s="26"/>
      <c r="ML79" s="26"/>
      <c r="MM79" s="26"/>
      <c r="MN79" s="26"/>
      <c r="MO79" s="26"/>
      <c r="MP79" s="26"/>
      <c r="MQ79" s="26"/>
      <c r="MR79" s="26"/>
      <c r="MS79" s="26"/>
      <c r="MT79" s="26"/>
      <c r="MU79" s="26"/>
      <c r="MV79" s="26"/>
      <c r="MW79" s="26"/>
      <c r="MX79" s="26"/>
      <c r="MY79" s="26"/>
      <c r="MZ79" s="26"/>
      <c r="NA79" s="26"/>
      <c r="NB79" s="26"/>
      <c r="NC79" s="26"/>
      <c r="ND79" s="26"/>
      <c r="NE79" s="26"/>
      <c r="NF79" s="26"/>
      <c r="NG79" s="26"/>
      <c r="NH79" s="26"/>
      <c r="NI79" s="26"/>
      <c r="NJ79" s="26"/>
      <c r="NK79" s="26"/>
      <c r="NL79" s="26"/>
      <c r="NM79" s="26"/>
      <c r="NN79" s="26"/>
      <c r="NO79" s="26"/>
      <c r="NP79" s="26"/>
      <c r="NQ79" s="26"/>
      <c r="NR79" s="26"/>
      <c r="NS79" s="26"/>
      <c r="NT79" s="26"/>
      <c r="NU79" s="26"/>
      <c r="NV79" s="26"/>
      <c r="NW79" s="26"/>
      <c r="NX79" s="26"/>
      <c r="NY79" s="26"/>
      <c r="NZ79" s="26"/>
      <c r="OA79" s="26"/>
      <c r="OB79" s="26"/>
      <c r="OC79" s="26"/>
      <c r="OD79" s="26"/>
      <c r="OE79" s="26"/>
      <c r="OF79" s="26"/>
      <c r="OG79" s="26"/>
      <c r="OH79" s="26"/>
      <c r="OI79" s="26"/>
      <c r="OJ79" s="26"/>
      <c r="OK79" s="26"/>
      <c r="OL79" s="26"/>
      <c r="OM79" s="26"/>
      <c r="ON79" s="26"/>
      <c r="OO79" s="26"/>
      <c r="OP79" s="26"/>
      <c r="OQ79" s="26"/>
      <c r="OR79" s="26"/>
      <c r="OS79" s="26"/>
      <c r="OT79" s="26"/>
      <c r="OU79" s="26"/>
      <c r="OV79" s="26"/>
      <c r="OW79" s="26"/>
      <c r="OX79" s="26"/>
      <c r="OY79" s="26"/>
      <c r="OZ79" s="26"/>
      <c r="PA79" s="26"/>
      <c r="PB79" s="26"/>
      <c r="PC79" s="26"/>
      <c r="PD79" s="26"/>
      <c r="PE79" s="26"/>
      <c r="PF79" s="26"/>
      <c r="PG79" s="26"/>
      <c r="PH79" s="26"/>
      <c r="PI79" s="26"/>
      <c r="PJ79" s="26"/>
      <c r="PK79" s="26"/>
      <c r="PL79" s="26"/>
      <c r="PM79" s="26"/>
      <c r="PN79" s="26"/>
      <c r="PO79" s="26"/>
      <c r="PP79" s="26"/>
      <c r="PQ79" s="26"/>
      <c r="PR79" s="26"/>
      <c r="PS79" s="26"/>
      <c r="PT79" s="26"/>
      <c r="PU79" s="26"/>
      <c r="PV79" s="26"/>
      <c r="PW79" s="26"/>
      <c r="PX79" s="26"/>
      <c r="PY79" s="26"/>
      <c r="PZ79" s="26"/>
      <c r="QA79" s="26"/>
      <c r="QB79" s="26"/>
      <c r="QC79" s="26"/>
      <c r="QD79" s="26"/>
      <c r="QE79" s="26"/>
      <c r="QF79" s="26"/>
      <c r="QG79" s="26"/>
      <c r="QH79" s="26"/>
      <c r="QI79" s="26"/>
      <c r="QJ79" s="26"/>
      <c r="QK79" s="26"/>
      <c r="QL79" s="26"/>
      <c r="QM79" s="26"/>
      <c r="QN79" s="26"/>
      <c r="QO79" s="26"/>
      <c r="QP79" s="26"/>
      <c r="QQ79" s="26"/>
      <c r="QR79" s="26"/>
      <c r="QS79" s="26"/>
      <c r="QT79" s="26"/>
      <c r="QU79" s="26"/>
      <c r="QV79" s="26"/>
      <c r="QW79" s="26"/>
      <c r="QX79" s="26"/>
      <c r="QY79" s="26"/>
      <c r="QZ79" s="26"/>
      <c r="RA79" s="26"/>
      <c r="RB79" s="26"/>
      <c r="RC79" s="26"/>
      <c r="RD79" s="26"/>
      <c r="RE79" s="26"/>
      <c r="RF79" s="26"/>
      <c r="RG79" s="26"/>
      <c r="RH79" s="26"/>
      <c r="RI79" s="26"/>
      <c r="RJ79" s="26"/>
      <c r="RK79" s="26"/>
      <c r="RL79" s="26"/>
      <c r="RM79" s="26"/>
      <c r="RN79" s="26"/>
      <c r="RO79" s="26"/>
      <c r="RP79" s="26"/>
      <c r="RQ79" s="26"/>
      <c r="RR79" s="26"/>
      <c r="RS79" s="26"/>
      <c r="RT79" s="26"/>
      <c r="RU79" s="26"/>
      <c r="RV79" s="26"/>
      <c r="RW79" s="26"/>
      <c r="RX79" s="26"/>
      <c r="RY79" s="26"/>
      <c r="RZ79" s="26"/>
      <c r="SA79" s="26"/>
      <c r="SB79" s="26"/>
      <c r="SC79" s="26"/>
      <c r="SD79" s="26"/>
      <c r="SE79" s="26"/>
      <c r="SF79" s="26"/>
      <c r="SG79" s="26"/>
      <c r="SH79" s="26"/>
      <c r="SI79" s="26"/>
      <c r="SJ79" s="26"/>
      <c r="SK79" s="26"/>
      <c r="SL79" s="26"/>
      <c r="SM79" s="26"/>
      <c r="SN79" s="26"/>
      <c r="SO79" s="26"/>
      <c r="SP79" s="26"/>
      <c r="SQ79" s="26"/>
      <c r="SR79" s="26"/>
      <c r="SS79" s="26"/>
      <c r="ST79" s="26"/>
      <c r="SU79" s="26"/>
      <c r="SV79" s="26"/>
      <c r="SW79" s="26"/>
      <c r="SX79" s="26"/>
      <c r="SY79" s="26"/>
      <c r="SZ79" s="26"/>
      <c r="TA79" s="26"/>
      <c r="TB79" s="26"/>
      <c r="TC79" s="26"/>
      <c r="TD79" s="26"/>
      <c r="TE79" s="26"/>
      <c r="TF79" s="26"/>
      <c r="TG79" s="26"/>
      <c r="TH79" s="26"/>
      <c r="TI79" s="26"/>
      <c r="TJ79" s="26"/>
      <c r="TK79" s="26"/>
      <c r="TL79" s="26"/>
      <c r="TM79" s="26"/>
      <c r="TN79" s="26"/>
      <c r="TO79" s="26"/>
      <c r="TP79" s="26"/>
      <c r="TQ79" s="26"/>
      <c r="TR79" s="26"/>
      <c r="TS79" s="26"/>
      <c r="TT79" s="26"/>
      <c r="TU79" s="26"/>
      <c r="TV79" s="26"/>
      <c r="TW79" s="26"/>
      <c r="TX79" s="26"/>
      <c r="TY79" s="26"/>
      <c r="TZ79" s="26"/>
      <c r="UA79" s="26"/>
      <c r="UB79" s="26"/>
      <c r="UC79" s="26"/>
      <c r="UD79" s="26"/>
      <c r="UE79" s="26"/>
      <c r="UF79" s="26"/>
      <c r="UG79" s="26"/>
      <c r="UH79" s="26"/>
      <c r="UI79" s="26"/>
      <c r="UJ79" s="26"/>
      <c r="UK79" s="26"/>
      <c r="UL79" s="26"/>
      <c r="UM79" s="26"/>
      <c r="UN79" s="26"/>
      <c r="UO79" s="26"/>
      <c r="UP79" s="26"/>
      <c r="UQ79" s="26"/>
      <c r="UR79" s="26"/>
      <c r="US79" s="26"/>
      <c r="UT79" s="26"/>
      <c r="UU79" s="26"/>
      <c r="UV79" s="26"/>
      <c r="UW79" s="26"/>
      <c r="UX79" s="26"/>
      <c r="UY79" s="26"/>
      <c r="UZ79" s="26"/>
      <c r="VA79" s="26"/>
      <c r="VB79" s="26"/>
      <c r="VC79" s="26"/>
      <c r="VD79" s="26"/>
      <c r="VE79" s="26"/>
      <c r="VF79" s="26"/>
      <c r="VG79" s="26"/>
      <c r="VH79" s="26"/>
      <c r="VI79" s="26"/>
      <c r="VJ79" s="26"/>
      <c r="VK79" s="26"/>
      <c r="VL79" s="26"/>
      <c r="VM79" s="26"/>
      <c r="VN79" s="26"/>
      <c r="VO79" s="26"/>
      <c r="VP79" s="26"/>
      <c r="VQ79" s="26"/>
      <c r="VR79" s="26"/>
      <c r="VS79" s="26"/>
      <c r="VT79" s="26"/>
      <c r="VU79" s="26"/>
      <c r="VV79" s="26"/>
      <c r="VW79" s="26"/>
      <c r="VX79" s="26"/>
      <c r="VY79" s="26"/>
      <c r="VZ79" s="26"/>
      <c r="WA79" s="26"/>
      <c r="WB79" s="26"/>
      <c r="WC79" s="26"/>
      <c r="WD79" s="26"/>
      <c r="WE79" s="26"/>
      <c r="WF79" s="26"/>
      <c r="WG79" s="26"/>
      <c r="WH79" s="26"/>
      <c r="WI79" s="26"/>
      <c r="WJ79" s="26"/>
      <c r="WK79" s="26"/>
      <c r="WL79" s="26"/>
      <c r="WM79" s="26"/>
      <c r="WN79" s="26"/>
      <c r="WO79" s="26"/>
      <c r="WP79" s="26"/>
      <c r="WQ79" s="26"/>
      <c r="WR79" s="26"/>
      <c r="WS79" s="26"/>
      <c r="WT79" s="26"/>
      <c r="WU79" s="26"/>
      <c r="WV79" s="26"/>
      <c r="WW79" s="26"/>
      <c r="WX79" s="26"/>
      <c r="WY79" s="26"/>
      <c r="WZ79" s="26"/>
      <c r="XA79" s="26"/>
      <c r="XB79" s="26"/>
      <c r="XC79" s="26"/>
      <c r="XD79" s="26"/>
      <c r="XE79" s="26"/>
      <c r="XF79" s="26"/>
      <c r="XG79" s="26"/>
      <c r="XH79" s="26"/>
      <c r="XI79" s="26"/>
      <c r="XJ79" s="26"/>
      <c r="XK79" s="26"/>
      <c r="XL79" s="26"/>
      <c r="XM79" s="26"/>
      <c r="XN79" s="26"/>
      <c r="XO79" s="26"/>
      <c r="XP79" s="26"/>
      <c r="XQ79" s="26"/>
      <c r="XR79" s="26"/>
      <c r="XS79" s="26"/>
      <c r="XT79" s="26"/>
      <c r="XU79" s="26"/>
      <c r="XV79" s="26"/>
      <c r="XW79" s="26"/>
      <c r="XX79" s="26"/>
      <c r="XY79" s="26"/>
      <c r="XZ79" s="26"/>
      <c r="YA79" s="26"/>
      <c r="YB79" s="26"/>
      <c r="YC79" s="26"/>
      <c r="YD79" s="26"/>
      <c r="YE79" s="26"/>
      <c r="YF79" s="26"/>
      <c r="YG79" s="26"/>
      <c r="YH79" s="26"/>
      <c r="YI79" s="26"/>
      <c r="YJ79" s="26"/>
      <c r="YK79" s="26"/>
      <c r="YL79" s="26"/>
      <c r="YM79" s="26"/>
      <c r="YN79" s="26"/>
      <c r="YO79" s="26"/>
      <c r="YP79" s="26"/>
      <c r="YQ79" s="26"/>
      <c r="YR79" s="26"/>
      <c r="YS79" s="26"/>
      <c r="YT79" s="26"/>
      <c r="YU79" s="26"/>
      <c r="YV79" s="26"/>
      <c r="YW79" s="26"/>
      <c r="YX79" s="26"/>
      <c r="YY79" s="26"/>
      <c r="YZ79" s="26"/>
      <c r="ZA79" s="26"/>
      <c r="ZB79" s="26"/>
      <c r="ZC79" s="26"/>
      <c r="ZD79" s="26"/>
      <c r="ZE79" s="26"/>
      <c r="ZF79" s="26"/>
      <c r="ZG79" s="26"/>
      <c r="ZH79" s="26"/>
      <c r="ZI79" s="26"/>
      <c r="ZJ79" s="26"/>
      <c r="ZK79" s="26"/>
      <c r="ZL79" s="26"/>
      <c r="ZM79" s="26"/>
      <c r="ZN79" s="26"/>
      <c r="ZO79" s="26"/>
      <c r="ZP79" s="26"/>
      <c r="ZQ79" s="26"/>
      <c r="ZR79" s="26"/>
      <c r="ZS79" s="26"/>
      <c r="ZT79" s="26"/>
      <c r="ZU79" s="26"/>
      <c r="ZV79" s="26"/>
      <c r="ZW79" s="26"/>
      <c r="ZX79" s="26"/>
      <c r="ZY79" s="26"/>
      <c r="ZZ79" s="26"/>
      <c r="AAA79" s="26"/>
      <c r="AAB79" s="26"/>
      <c r="AAC79" s="26"/>
      <c r="AAD79" s="26"/>
      <c r="AAE79" s="26"/>
      <c r="AAF79" s="26"/>
      <c r="AAG79" s="26"/>
      <c r="AAH79" s="26"/>
      <c r="AAI79" s="26"/>
      <c r="AAJ79" s="26"/>
      <c r="AAK79" s="26"/>
      <c r="AAL79" s="26"/>
      <c r="AAM79" s="26"/>
      <c r="AAN79" s="26"/>
      <c r="AAO79" s="26"/>
      <c r="AAP79" s="26"/>
      <c r="AAQ79" s="26"/>
      <c r="AAR79" s="26"/>
      <c r="AAS79" s="26"/>
      <c r="AAT79" s="26"/>
      <c r="AAU79" s="26"/>
      <c r="AAV79" s="26"/>
      <c r="AAW79" s="26"/>
      <c r="AAX79" s="26"/>
      <c r="AAY79" s="26"/>
      <c r="AAZ79" s="26"/>
      <c r="ABA79" s="26"/>
      <c r="ABB79" s="26"/>
      <c r="ABC79" s="26"/>
      <c r="ABD79" s="26"/>
      <c r="ABE79" s="26"/>
      <c r="ABF79" s="26"/>
      <c r="ABG79" s="26"/>
      <c r="ABH79" s="26"/>
      <c r="ABI79" s="26"/>
      <c r="ABJ79" s="26"/>
      <c r="ABK79" s="26"/>
      <c r="ABL79" s="26"/>
      <c r="ABM79" s="26"/>
      <c r="ABN79" s="26"/>
      <c r="ABO79" s="26"/>
      <c r="ABP79" s="26"/>
      <c r="ABQ79" s="26"/>
      <c r="ABR79" s="26"/>
      <c r="ABS79" s="26"/>
      <c r="ABT79" s="26"/>
      <c r="ABU79" s="26"/>
      <c r="ABV79" s="26"/>
      <c r="ABW79" s="26"/>
      <c r="ABX79" s="26"/>
      <c r="ABY79" s="26"/>
      <c r="ABZ79" s="26"/>
      <c r="ACA79" s="26"/>
      <c r="ACB79" s="26"/>
      <c r="ACC79" s="26"/>
      <c r="ACD79" s="26"/>
      <c r="ACE79" s="26"/>
      <c r="ACF79" s="26"/>
      <c r="ACG79" s="26"/>
      <c r="ACH79" s="26"/>
      <c r="ACI79" s="26"/>
      <c r="ACJ79" s="26"/>
      <c r="ACK79" s="26"/>
      <c r="ACL79" s="26"/>
      <c r="ACM79" s="26"/>
      <c r="ACN79" s="26"/>
      <c r="ACO79" s="26"/>
      <c r="ACP79" s="26"/>
      <c r="ACQ79" s="26"/>
      <c r="ACR79" s="26"/>
      <c r="ACS79" s="26"/>
      <c r="ACT79" s="26"/>
      <c r="ACU79" s="26"/>
      <c r="ACV79" s="26"/>
      <c r="ACW79" s="26"/>
      <c r="ACX79" s="26"/>
      <c r="ACY79" s="26"/>
      <c r="ACZ79" s="26"/>
      <c r="ADA79" s="26"/>
      <c r="ADB79" s="26"/>
      <c r="ADC79" s="26"/>
      <c r="ADD79" s="26"/>
      <c r="ADE79" s="26"/>
      <c r="ADF79" s="26"/>
      <c r="ADG79" s="26"/>
      <c r="ADH79" s="26"/>
      <c r="ADI79" s="26"/>
      <c r="ADJ79" s="26"/>
      <c r="ADK79" s="26"/>
      <c r="ADL79" s="26"/>
      <c r="ADM79" s="26"/>
      <c r="ADN79" s="26"/>
      <c r="ADO79" s="26"/>
      <c r="ADP79" s="26"/>
      <c r="ADQ79" s="26"/>
      <c r="ADR79" s="26"/>
      <c r="ADS79" s="26"/>
      <c r="ADT79" s="26"/>
      <c r="ADU79" s="26"/>
      <c r="ADV79" s="26"/>
      <c r="ADW79" s="26"/>
      <c r="ADX79" s="26"/>
      <c r="ADY79" s="26"/>
      <c r="ADZ79" s="26"/>
      <c r="AEA79" s="26"/>
      <c r="AEB79" s="26"/>
      <c r="AEC79" s="26"/>
      <c r="AED79" s="26"/>
      <c r="AEE79" s="26"/>
      <c r="AEF79" s="26"/>
      <c r="AEG79" s="26"/>
      <c r="AEH79" s="26"/>
      <c r="AEI79" s="26"/>
      <c r="AEJ79" s="26"/>
      <c r="AEK79" s="26"/>
      <c r="AEL79" s="26"/>
      <c r="AEM79" s="26"/>
      <c r="AEN79" s="26"/>
      <c r="AEO79" s="26"/>
      <c r="AEP79" s="26"/>
      <c r="AEQ79" s="26"/>
      <c r="AER79" s="26"/>
      <c r="AES79" s="26"/>
      <c r="AET79" s="26"/>
      <c r="AEU79" s="26"/>
      <c r="AEV79" s="26"/>
      <c r="AEW79" s="26"/>
      <c r="AEX79" s="26"/>
      <c r="AEY79" s="26"/>
      <c r="AEZ79" s="26"/>
      <c r="AFA79" s="26"/>
      <c r="AFB79" s="26"/>
      <c r="AFC79" s="26"/>
      <c r="AFD79" s="26"/>
      <c r="AFE79" s="26"/>
      <c r="AFF79" s="26"/>
      <c r="AFG79" s="26"/>
      <c r="AFH79" s="26"/>
      <c r="AFI79" s="26"/>
      <c r="AFJ79" s="26"/>
      <c r="AFK79" s="26"/>
      <c r="AFL79" s="26"/>
      <c r="AFM79" s="26"/>
      <c r="AFN79" s="26"/>
      <c r="AFO79" s="26"/>
      <c r="AFP79" s="26"/>
      <c r="AFQ79" s="26"/>
      <c r="AFR79" s="26"/>
      <c r="AFS79" s="26"/>
      <c r="AFT79" s="26"/>
      <c r="AFU79" s="26"/>
      <c r="AFV79" s="26"/>
      <c r="AFW79" s="26"/>
      <c r="AFX79" s="26"/>
      <c r="AFY79" s="26"/>
      <c r="AFZ79" s="26"/>
      <c r="AGA79" s="26"/>
      <c r="AGB79" s="26"/>
      <c r="AGC79" s="26"/>
      <c r="AGD79" s="26"/>
      <c r="AGE79" s="26"/>
      <c r="AGF79" s="26"/>
      <c r="AGG79" s="26"/>
      <c r="AGH79" s="26"/>
      <c r="AGI79" s="26"/>
      <c r="AGJ79" s="26"/>
      <c r="AGK79" s="26"/>
      <c r="AGL79" s="26"/>
      <c r="AGM79" s="26"/>
      <c r="AGN79" s="26"/>
      <c r="AGO79" s="26"/>
      <c r="AGP79" s="26"/>
      <c r="AGQ79" s="26"/>
      <c r="AGR79" s="26"/>
      <c r="AGS79" s="26"/>
      <c r="AGT79" s="26"/>
      <c r="AGU79" s="26"/>
      <c r="AGV79" s="26"/>
      <c r="AGW79" s="26"/>
      <c r="AGX79" s="26"/>
      <c r="AGY79" s="26"/>
      <c r="AGZ79" s="26"/>
      <c r="AHA79" s="26"/>
      <c r="AHB79" s="26"/>
      <c r="AHC79" s="26"/>
      <c r="AHD79" s="26"/>
      <c r="AHE79" s="26"/>
      <c r="AHF79" s="26"/>
      <c r="AHG79" s="26"/>
      <c r="AHH79" s="26"/>
      <c r="AHI79" s="26"/>
      <c r="AHJ79" s="26"/>
      <c r="AHK79" s="26"/>
      <c r="AHL79" s="26"/>
      <c r="AHM79" s="26"/>
      <c r="AHN79" s="26"/>
      <c r="AHO79" s="26"/>
      <c r="AHP79" s="26"/>
      <c r="AHQ79" s="26"/>
      <c r="AHR79" s="26"/>
      <c r="AHS79" s="26"/>
      <c r="AHT79" s="26"/>
      <c r="AHU79" s="26"/>
      <c r="AHV79" s="26"/>
      <c r="AHW79" s="26"/>
      <c r="AHX79" s="26"/>
      <c r="AHY79" s="26"/>
      <c r="AHZ79" s="26"/>
      <c r="AIA79" s="26"/>
      <c r="AIB79" s="26"/>
      <c r="AIC79" s="26"/>
      <c r="AID79" s="26"/>
      <c r="AIE79" s="26"/>
      <c r="AIF79" s="26"/>
      <c r="AIG79" s="26"/>
      <c r="AIH79" s="26"/>
      <c r="AII79" s="26"/>
      <c r="AIJ79" s="26"/>
      <c r="AIK79" s="26"/>
      <c r="AIL79" s="26"/>
      <c r="AIM79" s="26"/>
      <c r="AIN79" s="26"/>
      <c r="AIO79" s="26"/>
      <c r="AIP79" s="26"/>
      <c r="AIQ79" s="26"/>
      <c r="AIR79" s="26"/>
      <c r="AIS79" s="26"/>
      <c r="AIT79" s="26"/>
      <c r="AIU79" s="26"/>
      <c r="AIV79" s="26"/>
      <c r="AIW79" s="26"/>
      <c r="AIX79" s="26"/>
      <c r="AIY79" s="26"/>
      <c r="AIZ79" s="26"/>
      <c r="AJA79" s="26"/>
      <c r="AJB79" s="26"/>
      <c r="AJC79" s="26"/>
      <c r="AJD79" s="26"/>
      <c r="AJE79" s="26"/>
      <c r="AJF79" s="26"/>
      <c r="AJG79" s="26"/>
      <c r="AJH79" s="26"/>
      <c r="AJI79" s="26"/>
      <c r="AJJ79" s="26"/>
      <c r="AJK79" s="26"/>
      <c r="AJL79" s="26"/>
      <c r="AJM79" s="26"/>
      <c r="AJN79" s="26"/>
      <c r="AJO79" s="26"/>
      <c r="AJP79" s="26"/>
      <c r="AJQ79" s="26"/>
      <c r="AJR79" s="26"/>
      <c r="AJS79" s="26"/>
      <c r="AJT79" s="26"/>
      <c r="AJU79" s="26"/>
      <c r="AJV79" s="26"/>
      <c r="AJW79" s="26"/>
      <c r="AJX79" s="26"/>
      <c r="AJY79" s="26"/>
      <c r="AJZ79" s="26"/>
      <c r="AKA79" s="26"/>
      <c r="AKB79" s="26"/>
      <c r="AKC79" s="26"/>
      <c r="AKD79" s="26"/>
      <c r="AKE79" s="26"/>
      <c r="AKF79" s="26"/>
      <c r="AKG79" s="26"/>
      <c r="AKH79" s="26"/>
      <c r="AKI79" s="26"/>
      <c r="AKJ79" s="26"/>
      <c r="AKK79" s="26"/>
      <c r="AKL79" s="26"/>
      <c r="AKM79" s="26"/>
      <c r="AKN79" s="26"/>
      <c r="AKO79" s="26"/>
      <c r="AKP79" s="26"/>
      <c r="AKQ79" s="26"/>
      <c r="AKR79" s="26"/>
      <c r="AKS79" s="26"/>
      <c r="AKT79" s="26"/>
      <c r="AKU79" s="26"/>
      <c r="AKV79" s="26"/>
      <c r="AKW79" s="26"/>
      <c r="AKX79" s="26"/>
      <c r="AKY79" s="26"/>
      <c r="AKZ79" s="26"/>
      <c r="ALA79" s="26"/>
      <c r="ALB79" s="26"/>
      <c r="ALC79" s="26"/>
      <c r="ALD79" s="26"/>
      <c r="ALE79" s="26"/>
      <c r="ALF79" s="26"/>
      <c r="ALG79" s="26"/>
      <c r="ALH79" s="26"/>
      <c r="ALI79" s="26"/>
      <c r="ALJ79" s="26"/>
      <c r="ALK79" s="26"/>
      <c r="ALL79" s="26"/>
      <c r="ALM79" s="26"/>
      <c r="ALN79" s="26"/>
      <c r="ALO79" s="26"/>
      <c r="ALP79" s="26"/>
      <c r="ALQ79" s="26"/>
      <c r="ALR79" s="26"/>
      <c r="ALS79" s="26"/>
      <c r="ALT79" s="26"/>
      <c r="ALU79" s="26"/>
      <c r="ALV79" s="26"/>
      <c r="ALW79" s="26"/>
      <c r="ALX79" s="26"/>
      <c r="ALY79" s="26"/>
      <c r="ALZ79" s="26"/>
      <c r="AMA79" s="26"/>
      <c r="AMB79" s="26"/>
      <c r="AMC79" s="26"/>
      <c r="AMD79" s="26"/>
      <c r="AME79" s="26"/>
      <c r="AMF79" s="26"/>
      <c r="AMG79" s="26"/>
      <c r="AMH79" s="26"/>
      <c r="AMI79" s="26"/>
      <c r="AMJ79" s="26"/>
      <c r="AMK79" s="26"/>
      <c r="AML79" s="26"/>
      <c r="AMM79" s="26"/>
      <c r="AMN79" s="26"/>
      <c r="AMO79" s="26"/>
      <c r="AMP79" s="26"/>
      <c r="AMQ79" s="26"/>
      <c r="AMR79" s="26"/>
      <c r="AMS79" s="26"/>
      <c r="AMT79" s="26"/>
      <c r="AMU79" s="26"/>
      <c r="AMV79" s="26"/>
      <c r="AMW79" s="26"/>
      <c r="AMX79" s="26"/>
      <c r="AMY79" s="26"/>
      <c r="AMZ79" s="26"/>
      <c r="ANA79" s="26"/>
      <c r="ANB79" s="26"/>
      <c r="ANC79" s="26"/>
      <c r="AND79" s="26"/>
      <c r="ANE79" s="26"/>
      <c r="ANF79" s="26"/>
      <c r="ANG79" s="26"/>
      <c r="ANH79" s="26"/>
      <c r="ANI79" s="26"/>
      <c r="ANJ79" s="26"/>
      <c r="ANK79" s="26"/>
      <c r="ANL79" s="26"/>
      <c r="ANM79" s="26"/>
      <c r="ANN79" s="26"/>
      <c r="ANO79" s="26"/>
      <c r="ANP79" s="26"/>
      <c r="ANQ79" s="26"/>
      <c r="ANR79" s="26"/>
      <c r="ANS79" s="26"/>
      <c r="ANT79" s="26"/>
      <c r="ANU79" s="26"/>
      <c r="ANV79" s="26"/>
      <c r="ANW79" s="26"/>
      <c r="ANX79" s="26"/>
      <c r="ANY79" s="26"/>
      <c r="ANZ79" s="26"/>
      <c r="AOA79" s="26"/>
      <c r="AOB79" s="26"/>
      <c r="AOC79" s="26"/>
      <c r="AOD79" s="26"/>
      <c r="AOE79" s="26"/>
      <c r="AOF79" s="26"/>
      <c r="AOG79" s="26"/>
      <c r="AOH79" s="26"/>
      <c r="AOI79" s="26"/>
      <c r="AOJ79" s="26"/>
      <c r="AOK79" s="26"/>
      <c r="AOL79" s="26"/>
      <c r="AOM79" s="26"/>
      <c r="AON79" s="26"/>
      <c r="AOO79" s="26"/>
      <c r="AOP79" s="26"/>
      <c r="AOQ79" s="26"/>
      <c r="AOR79" s="26"/>
      <c r="AOS79" s="26"/>
      <c r="AOT79" s="26"/>
      <c r="AOU79" s="26"/>
      <c r="AOV79" s="26"/>
      <c r="AOW79" s="26"/>
      <c r="AOX79" s="26"/>
      <c r="AOY79" s="26"/>
      <c r="AOZ79" s="26"/>
      <c r="APA79" s="26"/>
      <c r="APB79" s="26"/>
      <c r="APC79" s="26"/>
      <c r="APD79" s="26"/>
      <c r="APE79" s="26"/>
      <c r="APF79" s="26"/>
      <c r="APG79" s="26"/>
      <c r="APH79" s="26"/>
      <c r="API79" s="26"/>
      <c r="APJ79" s="26"/>
      <c r="APK79" s="26"/>
      <c r="APL79" s="26"/>
      <c r="APM79" s="26"/>
      <c r="APN79" s="26"/>
      <c r="APO79" s="26"/>
      <c r="APP79" s="26"/>
      <c r="APQ79" s="26"/>
      <c r="APR79" s="26"/>
      <c r="APS79" s="26"/>
      <c r="APT79" s="26"/>
      <c r="APU79" s="26"/>
      <c r="APV79" s="26"/>
      <c r="APW79" s="26"/>
      <c r="APX79" s="26"/>
      <c r="APY79" s="26"/>
      <c r="APZ79" s="26"/>
      <c r="AQA79" s="26"/>
      <c r="AQB79" s="26"/>
      <c r="AQC79" s="26"/>
      <c r="AQD79" s="26"/>
      <c r="AQE79" s="26"/>
      <c r="AQF79" s="26"/>
      <c r="AQG79" s="26"/>
      <c r="AQH79" s="26"/>
      <c r="AQI79" s="26"/>
      <c r="AQJ79" s="26"/>
      <c r="AQK79" s="26"/>
      <c r="AQL79" s="26"/>
      <c r="AQM79" s="26"/>
      <c r="AQN79" s="26"/>
      <c r="AQO79" s="26"/>
      <c r="AQP79" s="26"/>
      <c r="AQQ79" s="26"/>
      <c r="AQR79" s="26"/>
      <c r="AQS79" s="26"/>
      <c r="AQT79" s="26"/>
      <c r="AQU79" s="26"/>
      <c r="AQV79" s="26"/>
      <c r="AQW79" s="26"/>
      <c r="AQX79" s="26"/>
      <c r="AQY79" s="26"/>
      <c r="AQZ79" s="26"/>
      <c r="ARA79" s="26"/>
      <c r="ARB79" s="26"/>
      <c r="ARC79" s="26"/>
      <c r="ARD79" s="26"/>
      <c r="ARE79" s="26"/>
      <c r="ARF79" s="26"/>
      <c r="ARG79" s="26"/>
      <c r="ARH79" s="26"/>
      <c r="ARI79" s="26"/>
      <c r="ARJ79" s="26"/>
      <c r="ARK79" s="26"/>
      <c r="ARL79" s="26"/>
      <c r="ARM79" s="26"/>
      <c r="ARN79" s="26"/>
      <c r="ARO79" s="26"/>
      <c r="ARP79" s="26"/>
      <c r="ARQ79" s="26"/>
      <c r="ARR79" s="26"/>
      <c r="ARS79" s="26"/>
      <c r="ART79" s="26"/>
      <c r="ARU79" s="26"/>
      <c r="ARV79" s="26"/>
      <c r="ARW79" s="26"/>
      <c r="ARX79" s="26"/>
      <c r="ARY79" s="26"/>
      <c r="ARZ79" s="26"/>
      <c r="ASA79" s="26"/>
      <c r="ASB79" s="26"/>
      <c r="ASC79" s="26"/>
      <c r="ASD79" s="26"/>
      <c r="ASE79" s="26"/>
      <c r="ASF79" s="26"/>
      <c r="ASG79" s="26"/>
      <c r="ASH79" s="26"/>
      <c r="ASI79" s="26"/>
      <c r="ASJ79" s="26"/>
      <c r="ASK79" s="26"/>
      <c r="ASL79" s="26"/>
      <c r="ASM79" s="26"/>
      <c r="ASN79" s="26"/>
      <c r="ASO79" s="26"/>
      <c r="ASP79" s="26"/>
      <c r="ASQ79" s="26"/>
      <c r="ASR79" s="26"/>
      <c r="ASS79" s="26"/>
      <c r="AST79" s="26"/>
      <c r="ASU79" s="26"/>
      <c r="ASV79" s="26"/>
      <c r="ASW79" s="26"/>
      <c r="ASX79" s="26"/>
      <c r="ASY79" s="26"/>
      <c r="ASZ79" s="26"/>
      <c r="ATA79" s="26"/>
      <c r="ATB79" s="26"/>
      <c r="ATC79" s="26"/>
      <c r="ATD79" s="26"/>
      <c r="ATE79" s="26"/>
      <c r="ATF79" s="26"/>
      <c r="ATG79" s="26"/>
      <c r="ATH79" s="26"/>
      <c r="ATI79" s="26"/>
      <c r="ATJ79" s="26"/>
      <c r="ATK79" s="26"/>
      <c r="ATL79" s="26"/>
      <c r="ATM79" s="26"/>
      <c r="ATN79" s="26"/>
      <c r="ATO79" s="26"/>
      <c r="ATP79" s="26"/>
      <c r="ATQ79" s="26"/>
      <c r="ATR79" s="26"/>
      <c r="ATS79" s="26"/>
      <c r="ATT79" s="26"/>
      <c r="ATU79" s="26"/>
      <c r="ATV79" s="26"/>
      <c r="ATW79" s="26"/>
      <c r="ATX79" s="26"/>
      <c r="ATY79" s="26"/>
      <c r="ATZ79" s="26"/>
      <c r="AUA79" s="26"/>
      <c r="AUB79" s="26"/>
      <c r="AUC79" s="26"/>
      <c r="AUD79" s="26"/>
      <c r="AUE79" s="26"/>
      <c r="AUF79" s="26"/>
      <c r="AUG79" s="26"/>
      <c r="AUH79" s="26"/>
      <c r="AUI79" s="26"/>
      <c r="AUJ79" s="26"/>
      <c r="AUK79" s="26"/>
      <c r="AUL79" s="26"/>
      <c r="AUM79" s="26"/>
      <c r="AUN79" s="26"/>
      <c r="AUO79" s="26"/>
      <c r="AUP79" s="26"/>
      <c r="AUQ79" s="26"/>
      <c r="AUR79" s="26"/>
      <c r="AUS79" s="26"/>
      <c r="AUT79" s="26"/>
      <c r="AUU79" s="26"/>
      <c r="AUV79" s="26"/>
      <c r="AUW79" s="26"/>
      <c r="AUX79" s="26"/>
      <c r="AUY79" s="26"/>
      <c r="AUZ79" s="26"/>
      <c r="AVA79" s="26"/>
      <c r="AVB79" s="26"/>
      <c r="AVC79" s="26"/>
      <c r="AVD79" s="26"/>
      <c r="AVE79" s="26"/>
      <c r="AVF79" s="26"/>
      <c r="AVG79" s="26"/>
      <c r="AVH79" s="26"/>
      <c r="AVI79" s="26"/>
      <c r="AVJ79" s="26"/>
      <c r="AVK79" s="26"/>
      <c r="AVL79" s="26"/>
      <c r="AVM79" s="26"/>
      <c r="AVN79" s="26"/>
      <c r="AVO79" s="26"/>
      <c r="AVP79" s="26"/>
      <c r="AVQ79" s="26"/>
      <c r="AVR79" s="26"/>
      <c r="AVS79" s="26"/>
      <c r="AVT79" s="26"/>
      <c r="AVU79" s="26"/>
      <c r="AVV79" s="26"/>
      <c r="AVW79" s="26"/>
      <c r="AVX79" s="26"/>
      <c r="AVY79" s="26"/>
      <c r="AVZ79" s="26"/>
      <c r="AWA79" s="26"/>
      <c r="AWB79" s="26"/>
      <c r="AWC79" s="26"/>
      <c r="AWD79" s="26"/>
      <c r="AWE79" s="26"/>
      <c r="AWF79" s="26"/>
      <c r="AWG79" s="26"/>
      <c r="AWH79" s="26"/>
      <c r="AWI79" s="26"/>
      <c r="AWJ79" s="26"/>
      <c r="AWK79" s="26"/>
      <c r="AWL79" s="26"/>
      <c r="AWM79" s="26"/>
      <c r="AWN79" s="26"/>
      <c r="AWO79" s="26"/>
      <c r="AWP79" s="26"/>
      <c r="AWQ79" s="26"/>
      <c r="AWR79" s="26"/>
      <c r="AWS79" s="26"/>
      <c r="AWT79" s="26"/>
      <c r="AWU79" s="26"/>
      <c r="AWV79" s="26"/>
      <c r="AWW79" s="26"/>
      <c r="AWX79" s="26"/>
      <c r="AWY79" s="26"/>
      <c r="AWZ79" s="26"/>
      <c r="AXA79" s="26"/>
      <c r="AXB79" s="26"/>
      <c r="AXC79" s="26"/>
      <c r="AXD79" s="26"/>
      <c r="AXE79" s="26"/>
      <c r="AXF79" s="26"/>
      <c r="AXG79" s="26"/>
      <c r="AXH79" s="26"/>
      <c r="AXI79" s="26"/>
      <c r="AXJ79" s="26"/>
      <c r="AXK79" s="26"/>
      <c r="AXL79" s="26"/>
      <c r="AXM79" s="26"/>
      <c r="AXN79" s="26"/>
      <c r="AXO79" s="26"/>
      <c r="AXP79" s="26"/>
      <c r="AXQ79" s="26"/>
      <c r="AXR79" s="26"/>
      <c r="AXS79" s="26"/>
      <c r="AXT79" s="26"/>
      <c r="AXU79" s="26"/>
      <c r="AXV79" s="26"/>
      <c r="AXW79" s="26"/>
      <c r="AXX79" s="26"/>
      <c r="AXY79" s="26"/>
      <c r="AXZ79" s="26"/>
      <c r="AYA79" s="26"/>
      <c r="AYB79" s="26"/>
      <c r="AYC79" s="26"/>
      <c r="AYD79" s="26"/>
      <c r="AYE79" s="26"/>
      <c r="AYF79" s="26"/>
      <c r="AYG79" s="26"/>
      <c r="AYH79" s="26"/>
      <c r="AYI79" s="26"/>
      <c r="AYJ79" s="26"/>
      <c r="AYK79" s="26"/>
      <c r="AYL79" s="26"/>
      <c r="AYM79" s="26"/>
      <c r="AYN79" s="26"/>
      <c r="AYO79" s="26"/>
      <c r="AYP79" s="26"/>
      <c r="AYQ79" s="26"/>
      <c r="AYR79" s="26"/>
      <c r="AYS79" s="26"/>
      <c r="AYT79" s="26"/>
      <c r="AYU79" s="26"/>
      <c r="AYV79" s="26"/>
      <c r="AYW79" s="26"/>
      <c r="AYX79" s="26"/>
      <c r="AYY79" s="26"/>
      <c r="AYZ79" s="26"/>
      <c r="AZA79" s="26"/>
      <c r="AZB79" s="26"/>
      <c r="AZC79" s="26"/>
      <c r="AZD79" s="26"/>
      <c r="AZE79" s="26"/>
      <c r="AZF79" s="26"/>
      <c r="AZG79" s="26"/>
      <c r="AZH79" s="26"/>
      <c r="AZI79" s="26"/>
      <c r="AZJ79" s="26"/>
      <c r="AZK79" s="26"/>
      <c r="AZL79" s="26"/>
      <c r="AZM79" s="26"/>
      <c r="AZN79" s="26"/>
      <c r="AZO79" s="26"/>
      <c r="AZP79" s="26"/>
      <c r="AZQ79" s="26"/>
      <c r="AZR79" s="26"/>
      <c r="AZS79" s="26"/>
      <c r="AZT79" s="26"/>
      <c r="AZU79" s="26"/>
      <c r="AZV79" s="26"/>
      <c r="AZW79" s="26"/>
      <c r="AZX79" s="26"/>
      <c r="AZY79" s="26"/>
      <c r="AZZ79" s="26"/>
      <c r="BAA79" s="26"/>
      <c r="BAB79" s="26"/>
      <c r="BAC79" s="26"/>
      <c r="BAD79" s="26"/>
      <c r="BAE79" s="26"/>
      <c r="BAF79" s="26"/>
      <c r="BAG79" s="26"/>
      <c r="BAH79" s="26"/>
      <c r="BAI79" s="26"/>
      <c r="BAJ79" s="26"/>
      <c r="BAK79" s="26"/>
      <c r="BAL79" s="26"/>
      <c r="BAM79" s="26"/>
      <c r="BAN79" s="26"/>
      <c r="BAO79" s="26"/>
      <c r="BAP79" s="26"/>
      <c r="BAQ79" s="26"/>
      <c r="BAR79" s="26"/>
      <c r="BAS79" s="26"/>
      <c r="BAT79" s="26"/>
      <c r="BAU79" s="26"/>
      <c r="BAV79" s="26"/>
      <c r="BAW79" s="26"/>
      <c r="BAX79" s="26"/>
      <c r="BAY79" s="26"/>
      <c r="BAZ79" s="26"/>
      <c r="BBA79" s="26"/>
      <c r="BBB79" s="26"/>
      <c r="BBC79" s="26"/>
      <c r="BBD79" s="26"/>
      <c r="BBE79" s="26"/>
      <c r="BBF79" s="26"/>
      <c r="BBG79" s="26"/>
      <c r="BBH79" s="26"/>
      <c r="BBI79" s="26"/>
      <c r="BBJ79" s="26"/>
      <c r="BBK79" s="26"/>
      <c r="BBL79" s="26"/>
      <c r="BBM79" s="26"/>
      <c r="BBN79" s="26"/>
      <c r="BBO79" s="26"/>
      <c r="BBP79" s="26"/>
      <c r="BBQ79" s="26"/>
      <c r="BBR79" s="26"/>
      <c r="BBS79" s="26"/>
      <c r="BBT79" s="26"/>
      <c r="BBU79" s="26"/>
      <c r="BBV79" s="26"/>
      <c r="BBW79" s="26"/>
      <c r="BBX79" s="26"/>
      <c r="BBY79" s="26"/>
      <c r="BBZ79" s="26"/>
      <c r="BCA79" s="26"/>
      <c r="BCB79" s="26"/>
      <c r="BCC79" s="26"/>
      <c r="BCD79" s="26"/>
      <c r="BCE79" s="26"/>
      <c r="BCF79" s="26"/>
      <c r="BCG79" s="26"/>
      <c r="BCH79" s="26"/>
      <c r="BCI79" s="26"/>
      <c r="BCJ79" s="26"/>
      <c r="BCK79" s="26"/>
      <c r="BCL79" s="26"/>
      <c r="BCM79" s="26"/>
      <c r="BCN79" s="26"/>
      <c r="BCO79" s="26"/>
      <c r="BCP79" s="26"/>
      <c r="BCQ79" s="26"/>
      <c r="BCR79" s="26"/>
      <c r="BCS79" s="26"/>
      <c r="BCT79" s="26"/>
      <c r="BCU79" s="26"/>
      <c r="BCV79" s="26"/>
      <c r="BCW79" s="26"/>
      <c r="BCX79" s="26"/>
      <c r="BCY79" s="26"/>
      <c r="BCZ79" s="26"/>
      <c r="BDA79" s="26"/>
      <c r="BDB79" s="26"/>
      <c r="BDC79" s="26"/>
      <c r="BDD79" s="26"/>
      <c r="BDE79" s="26"/>
      <c r="BDF79" s="26"/>
      <c r="BDG79" s="26"/>
      <c r="BDH79" s="26"/>
      <c r="BDI79" s="26"/>
      <c r="BDJ79" s="26"/>
      <c r="BDK79" s="26"/>
      <c r="BDL79" s="26"/>
      <c r="BDM79" s="26"/>
      <c r="BDN79" s="26"/>
      <c r="BDO79" s="26"/>
      <c r="BDP79" s="26"/>
      <c r="BDQ79" s="26"/>
      <c r="BDR79" s="26"/>
      <c r="BDS79" s="26"/>
      <c r="BDT79" s="26"/>
      <c r="BDU79" s="26"/>
      <c r="BDV79" s="26"/>
      <c r="BDW79" s="26"/>
      <c r="BDX79" s="26"/>
      <c r="BDY79" s="26"/>
      <c r="BDZ79" s="26"/>
      <c r="BEA79" s="26"/>
      <c r="BEB79" s="26"/>
      <c r="BEC79" s="26"/>
      <c r="BED79" s="26"/>
      <c r="BEE79" s="26"/>
      <c r="BEF79" s="26"/>
      <c r="BEG79" s="26"/>
      <c r="BEH79" s="26"/>
      <c r="BEI79" s="26"/>
      <c r="BEJ79" s="26"/>
      <c r="BEK79" s="26"/>
      <c r="BEL79" s="26"/>
      <c r="BEM79" s="26"/>
      <c r="BEN79" s="26"/>
      <c r="BEO79" s="26"/>
      <c r="BEP79" s="26"/>
      <c r="BEQ79" s="26"/>
      <c r="BER79" s="26"/>
      <c r="BES79" s="26"/>
      <c r="BET79" s="26"/>
      <c r="BEU79" s="26"/>
      <c r="BEV79" s="26"/>
      <c r="BEW79" s="26"/>
      <c r="BEX79" s="26"/>
      <c r="BEY79" s="26"/>
      <c r="BEZ79" s="26"/>
      <c r="BFA79" s="26"/>
      <c r="BFB79" s="26"/>
      <c r="BFC79" s="26"/>
      <c r="BFD79" s="26"/>
      <c r="BFE79" s="26"/>
      <c r="BFF79" s="26"/>
      <c r="BFG79" s="26"/>
      <c r="BFH79" s="26"/>
      <c r="BFI79" s="26"/>
      <c r="BFJ79" s="26"/>
      <c r="BFK79" s="26"/>
      <c r="BFL79" s="26"/>
      <c r="BFM79" s="26"/>
      <c r="BFN79" s="26"/>
      <c r="BFO79" s="26"/>
      <c r="BFP79" s="26"/>
      <c r="BFQ79" s="26"/>
      <c r="BFR79" s="26"/>
      <c r="BFS79" s="26"/>
      <c r="BFT79" s="26"/>
      <c r="BFU79" s="26"/>
      <c r="BFV79" s="26"/>
      <c r="BFW79" s="26"/>
      <c r="BFX79" s="26"/>
      <c r="BFY79" s="26"/>
      <c r="BFZ79" s="26"/>
      <c r="BGA79" s="26"/>
      <c r="BGB79" s="26"/>
      <c r="BGC79" s="26"/>
      <c r="BGD79" s="26"/>
      <c r="BGE79" s="26"/>
      <c r="BGF79" s="26"/>
      <c r="BGG79" s="26"/>
      <c r="BGH79" s="26"/>
      <c r="BGI79" s="26"/>
      <c r="BGJ79" s="26"/>
      <c r="BGK79" s="26"/>
      <c r="BGL79" s="26"/>
      <c r="BGM79" s="26"/>
      <c r="BGN79" s="26"/>
      <c r="BGO79" s="26"/>
      <c r="BGP79" s="26"/>
      <c r="BGQ79" s="26"/>
      <c r="BGR79" s="26"/>
      <c r="BGS79" s="26"/>
      <c r="BGT79" s="26"/>
      <c r="BGU79" s="26"/>
      <c r="BGV79" s="26"/>
      <c r="BGW79" s="26"/>
      <c r="BGX79" s="26"/>
      <c r="BGY79" s="26"/>
      <c r="BGZ79" s="26"/>
      <c r="BHA79" s="26"/>
      <c r="BHB79" s="26"/>
      <c r="BHC79" s="26"/>
      <c r="BHD79" s="26"/>
      <c r="BHE79" s="26"/>
      <c r="BHF79" s="26"/>
      <c r="BHG79" s="26"/>
      <c r="BHH79" s="26"/>
      <c r="BHI79" s="26"/>
      <c r="BHJ79" s="26"/>
      <c r="BHK79" s="26"/>
      <c r="BHL79" s="26"/>
      <c r="BHM79" s="26"/>
      <c r="BHN79" s="26"/>
      <c r="BHO79" s="26"/>
      <c r="BHP79" s="26"/>
      <c r="BHQ79" s="26"/>
      <c r="BHR79" s="26"/>
      <c r="BHS79" s="26"/>
      <c r="BHT79" s="26"/>
      <c r="BHU79" s="26"/>
      <c r="BHV79" s="26"/>
      <c r="BHW79" s="26"/>
      <c r="BHX79" s="26"/>
      <c r="BHY79" s="26"/>
      <c r="BHZ79" s="26"/>
      <c r="BIA79" s="26"/>
      <c r="BIB79" s="26"/>
      <c r="BIC79" s="26"/>
      <c r="BID79" s="26"/>
      <c r="BIE79" s="26"/>
      <c r="BIF79" s="26"/>
      <c r="BIG79" s="26"/>
      <c r="BIH79" s="26"/>
      <c r="BII79" s="26"/>
      <c r="BIJ79" s="26"/>
      <c r="BIK79" s="26"/>
      <c r="BIL79" s="26"/>
      <c r="BIM79" s="26"/>
      <c r="BIN79" s="26"/>
      <c r="BIO79" s="26"/>
      <c r="BIP79" s="26"/>
      <c r="BIQ79" s="26"/>
      <c r="BIR79" s="26"/>
      <c r="BIS79" s="26"/>
      <c r="BIT79" s="26"/>
      <c r="BIU79" s="26"/>
      <c r="BIV79" s="26"/>
      <c r="BIW79" s="26"/>
      <c r="BIX79" s="26"/>
      <c r="BIY79" s="26"/>
      <c r="BIZ79" s="26"/>
      <c r="BJA79" s="26"/>
      <c r="BJB79" s="26"/>
      <c r="BJC79" s="26"/>
      <c r="BJD79" s="26"/>
      <c r="BJE79" s="26"/>
      <c r="BJF79" s="26"/>
      <c r="BJG79" s="26"/>
      <c r="BJH79" s="26"/>
      <c r="BJI79" s="26"/>
      <c r="BJJ79" s="26"/>
      <c r="BJK79" s="26"/>
      <c r="BJL79" s="26"/>
      <c r="BJM79" s="26"/>
      <c r="BJN79" s="26"/>
      <c r="BJO79" s="26"/>
      <c r="BJP79" s="26"/>
      <c r="BJQ79" s="26"/>
      <c r="BJR79" s="26"/>
      <c r="BJS79" s="26"/>
      <c r="BJT79" s="26"/>
      <c r="BJU79" s="26"/>
      <c r="BJV79" s="26"/>
      <c r="BJW79" s="26"/>
      <c r="BJX79" s="26"/>
      <c r="BJY79" s="26"/>
      <c r="BJZ79" s="26"/>
      <c r="BKA79" s="26"/>
      <c r="BKB79" s="26"/>
      <c r="BKC79" s="26"/>
      <c r="BKD79" s="26"/>
      <c r="BKE79" s="26"/>
      <c r="BKF79" s="26"/>
      <c r="BKG79" s="26"/>
      <c r="BKH79" s="26"/>
      <c r="BKI79" s="26"/>
      <c r="BKJ79" s="26"/>
      <c r="BKK79" s="26"/>
      <c r="BKL79" s="26"/>
      <c r="BKM79" s="26"/>
      <c r="BKN79" s="26"/>
      <c r="BKO79" s="26"/>
      <c r="BKP79" s="26"/>
      <c r="BKQ79" s="26"/>
      <c r="BKR79" s="26"/>
      <c r="BKS79" s="26"/>
      <c r="BKT79" s="26"/>
      <c r="BKU79" s="26"/>
      <c r="BKV79" s="26"/>
      <c r="BKW79" s="26"/>
      <c r="BKX79" s="26"/>
      <c r="BKY79" s="26"/>
      <c r="BKZ79" s="26"/>
      <c r="BLA79" s="26"/>
      <c r="BLB79" s="26"/>
      <c r="BLC79" s="26"/>
      <c r="BLD79" s="26"/>
      <c r="BLE79" s="26"/>
      <c r="BLF79" s="26"/>
      <c r="BLG79" s="26"/>
      <c r="BLH79" s="26"/>
      <c r="BLI79" s="26"/>
      <c r="BLJ79" s="26"/>
      <c r="BLK79" s="26"/>
      <c r="BLL79" s="26"/>
      <c r="BLM79" s="26"/>
      <c r="BLN79" s="26"/>
      <c r="BLO79" s="26"/>
      <c r="BLP79" s="26"/>
      <c r="BLQ79" s="26"/>
      <c r="BLR79" s="26"/>
      <c r="BLS79" s="26"/>
      <c r="BLT79" s="26"/>
      <c r="BLU79" s="26"/>
      <c r="BLV79" s="26"/>
      <c r="BLW79" s="26"/>
      <c r="BLX79" s="26"/>
      <c r="BLY79" s="26"/>
      <c r="BLZ79" s="26"/>
      <c r="BMA79" s="26"/>
      <c r="BMB79" s="26"/>
      <c r="BMC79" s="26"/>
      <c r="BMD79" s="26"/>
      <c r="BME79" s="26"/>
      <c r="BMF79" s="26"/>
      <c r="BMG79" s="26"/>
      <c r="BMH79" s="26"/>
      <c r="BMI79" s="26"/>
      <c r="BMJ79" s="26"/>
      <c r="BMK79" s="26"/>
      <c r="BML79" s="26"/>
      <c r="BMM79" s="26"/>
      <c r="BMN79" s="26"/>
      <c r="BMO79" s="26"/>
      <c r="BMP79" s="26"/>
      <c r="BMQ79" s="26"/>
      <c r="BMR79" s="26"/>
      <c r="BMS79" s="26"/>
      <c r="BMT79" s="26"/>
      <c r="BMU79" s="26"/>
      <c r="BMV79" s="26"/>
      <c r="BMW79" s="26"/>
      <c r="BMX79" s="26"/>
      <c r="BMY79" s="26"/>
      <c r="BMZ79" s="26"/>
      <c r="BNA79" s="26"/>
      <c r="BNB79" s="26"/>
      <c r="BNC79" s="26"/>
      <c r="BND79" s="26"/>
      <c r="BNE79" s="26"/>
      <c r="BNF79" s="26"/>
      <c r="BNG79" s="26"/>
      <c r="BNH79" s="26"/>
      <c r="BNI79" s="26"/>
      <c r="BNJ79" s="26"/>
      <c r="BNK79" s="26"/>
      <c r="BNL79" s="26"/>
      <c r="BNM79" s="26"/>
      <c r="BNN79" s="26"/>
      <c r="BNO79" s="26"/>
      <c r="BNP79" s="26"/>
      <c r="BNQ79" s="26"/>
      <c r="BNR79" s="26"/>
      <c r="BNS79" s="26"/>
      <c r="BNT79" s="26"/>
      <c r="BNU79" s="26"/>
      <c r="BNV79" s="26"/>
      <c r="BNW79" s="26"/>
      <c r="BNX79" s="26"/>
      <c r="BNY79" s="26"/>
      <c r="BNZ79" s="26"/>
      <c r="BOA79" s="26"/>
      <c r="BOB79" s="26"/>
      <c r="BOC79" s="26"/>
      <c r="BOD79" s="26"/>
      <c r="BOE79" s="26"/>
      <c r="BOF79" s="26"/>
      <c r="BOG79" s="26"/>
      <c r="BOH79" s="26"/>
      <c r="BOI79" s="26"/>
      <c r="BOJ79" s="26"/>
      <c r="BOK79" s="26"/>
      <c r="BOL79" s="26"/>
      <c r="BOM79" s="26"/>
      <c r="BON79" s="26"/>
      <c r="BOO79" s="26"/>
      <c r="BOP79" s="26"/>
      <c r="BOQ79" s="26"/>
      <c r="BOR79" s="26"/>
      <c r="BOS79" s="26"/>
      <c r="BOT79" s="26"/>
      <c r="BOU79" s="26"/>
      <c r="BOV79" s="26"/>
      <c r="BOW79" s="26"/>
      <c r="BOX79" s="26"/>
      <c r="BOY79" s="26"/>
      <c r="BOZ79" s="26"/>
      <c r="BPA79" s="26"/>
      <c r="BPB79" s="26"/>
      <c r="BPC79" s="26"/>
      <c r="BPD79" s="26"/>
      <c r="BPE79" s="26"/>
      <c r="BPF79" s="26"/>
      <c r="BPG79" s="26"/>
      <c r="BPH79" s="26"/>
      <c r="BPI79" s="26"/>
      <c r="BPJ79" s="26"/>
      <c r="BPK79" s="26"/>
      <c r="BPL79" s="26"/>
      <c r="BPM79" s="26"/>
      <c r="BPN79" s="26"/>
      <c r="BPO79" s="26"/>
      <c r="BPP79" s="26"/>
      <c r="BPQ79" s="26"/>
      <c r="BPR79" s="26"/>
      <c r="BPS79" s="26"/>
      <c r="BPT79" s="26"/>
      <c r="BPU79" s="26"/>
      <c r="BPV79" s="26"/>
      <c r="BPW79" s="26"/>
      <c r="BPX79" s="26"/>
      <c r="BPY79" s="26"/>
      <c r="BPZ79" s="26"/>
      <c r="BQA79" s="26"/>
      <c r="BQB79" s="26"/>
      <c r="BQC79" s="26"/>
      <c r="BQD79" s="26"/>
      <c r="BQE79" s="26"/>
      <c r="BQF79" s="26"/>
      <c r="BQG79" s="26"/>
      <c r="BQH79" s="26"/>
      <c r="BQI79" s="26"/>
      <c r="BQJ79" s="26"/>
      <c r="BQK79" s="26"/>
      <c r="BQL79" s="26"/>
      <c r="BQM79" s="26"/>
      <c r="BQN79" s="26"/>
      <c r="BQO79" s="26"/>
      <c r="BQP79" s="26"/>
      <c r="BQQ79" s="26"/>
      <c r="BQR79" s="26"/>
      <c r="BQS79" s="26"/>
      <c r="BQT79" s="26"/>
      <c r="BQU79" s="26"/>
      <c r="BQV79" s="26"/>
      <c r="BQW79" s="26"/>
      <c r="BQX79" s="26"/>
      <c r="BQY79" s="26"/>
      <c r="BQZ79" s="26"/>
      <c r="BRA79" s="26"/>
      <c r="BRB79" s="26"/>
      <c r="BRC79" s="26"/>
      <c r="BRD79" s="26"/>
      <c r="BRE79" s="26"/>
      <c r="BRF79" s="26"/>
      <c r="BRG79" s="26"/>
      <c r="BRH79" s="26"/>
      <c r="BRI79" s="26"/>
      <c r="BRJ79" s="26"/>
      <c r="BRK79" s="26"/>
      <c r="BRL79" s="26"/>
      <c r="BRM79" s="26"/>
      <c r="BRN79" s="26"/>
      <c r="BRO79" s="26"/>
      <c r="BRP79" s="26"/>
      <c r="BRQ79" s="26"/>
      <c r="BRR79" s="26"/>
      <c r="BRS79" s="26"/>
      <c r="BRT79" s="26"/>
      <c r="BRU79" s="26"/>
      <c r="BRV79" s="26"/>
      <c r="BRW79" s="26"/>
      <c r="BRX79" s="26"/>
      <c r="BRY79" s="26"/>
      <c r="BRZ79" s="26"/>
      <c r="BSA79" s="26"/>
      <c r="BSB79" s="26"/>
      <c r="BSC79" s="26"/>
      <c r="BSD79" s="26"/>
      <c r="BSE79" s="26"/>
      <c r="BSF79" s="26"/>
      <c r="BSG79" s="26"/>
      <c r="BSH79" s="26"/>
      <c r="BSI79" s="26"/>
      <c r="BSJ79" s="26"/>
      <c r="BSK79" s="26"/>
      <c r="BSL79" s="26"/>
      <c r="BSM79" s="26"/>
      <c r="BSN79" s="26"/>
      <c r="BSO79" s="26"/>
      <c r="BSP79" s="26"/>
      <c r="BSQ79" s="26"/>
      <c r="BSR79" s="26"/>
      <c r="BSS79" s="26"/>
      <c r="BST79" s="26"/>
      <c r="BSU79" s="26"/>
      <c r="BSV79" s="26"/>
      <c r="BSW79" s="26"/>
      <c r="BSX79" s="26"/>
      <c r="BSY79" s="26"/>
      <c r="BSZ79" s="26"/>
      <c r="BTA79" s="26"/>
      <c r="BTB79" s="26"/>
      <c r="BTC79" s="26"/>
      <c r="BTD79" s="26"/>
      <c r="BTE79" s="26"/>
      <c r="BTF79" s="26"/>
      <c r="BTG79" s="26"/>
      <c r="BTH79" s="26"/>
      <c r="BTI79" s="26"/>
      <c r="BTJ79" s="26"/>
      <c r="BTK79" s="26"/>
      <c r="BTL79" s="26"/>
      <c r="BTM79" s="26"/>
      <c r="BTN79" s="26"/>
      <c r="BTO79" s="26"/>
      <c r="BTP79" s="26"/>
      <c r="BTQ79" s="26"/>
      <c r="BTR79" s="26"/>
      <c r="BTS79" s="26"/>
      <c r="BTT79" s="26"/>
      <c r="BTU79" s="26"/>
      <c r="BTV79" s="26"/>
      <c r="BTW79" s="26"/>
      <c r="BTX79" s="26"/>
      <c r="BTY79" s="26"/>
      <c r="BTZ79" s="26"/>
      <c r="BUA79" s="26"/>
      <c r="BUB79" s="26"/>
      <c r="BUC79" s="26"/>
      <c r="BUD79" s="26"/>
      <c r="BUE79" s="26"/>
      <c r="BUF79" s="26"/>
      <c r="BUG79" s="26"/>
      <c r="BUH79" s="26"/>
      <c r="BUI79" s="26"/>
      <c r="BUJ79" s="26"/>
      <c r="BUK79" s="26"/>
      <c r="BUL79" s="26"/>
      <c r="BUM79" s="26"/>
      <c r="BUN79" s="26"/>
      <c r="BUO79" s="26"/>
      <c r="BUP79" s="26"/>
      <c r="BUQ79" s="26"/>
      <c r="BUR79" s="26"/>
      <c r="BUS79" s="26"/>
      <c r="BUT79" s="26"/>
      <c r="BUU79" s="26"/>
      <c r="BUV79" s="26"/>
      <c r="BUW79" s="26"/>
      <c r="BUX79" s="26"/>
      <c r="BUY79" s="26"/>
      <c r="BUZ79" s="26"/>
      <c r="BVA79" s="26"/>
      <c r="BVB79" s="26"/>
      <c r="BVC79" s="26"/>
      <c r="BVD79" s="26"/>
      <c r="BVE79" s="26"/>
      <c r="BVF79" s="26"/>
      <c r="BVG79" s="26"/>
      <c r="BVH79" s="26"/>
      <c r="BVI79" s="26"/>
      <c r="BVJ79" s="26"/>
      <c r="BVK79" s="26"/>
      <c r="BVL79" s="26"/>
      <c r="BVM79" s="26"/>
      <c r="BVN79" s="26"/>
      <c r="BVO79" s="26"/>
      <c r="BVP79" s="26"/>
      <c r="BVQ79" s="26"/>
      <c r="BVR79" s="26"/>
      <c r="BVS79" s="26"/>
      <c r="BVT79" s="26"/>
      <c r="BVU79" s="26"/>
      <c r="BVV79" s="26"/>
      <c r="BVW79" s="26"/>
      <c r="BVX79" s="26"/>
      <c r="BVY79" s="26"/>
      <c r="BVZ79" s="26"/>
      <c r="BWA79" s="26"/>
      <c r="BWB79" s="26"/>
      <c r="BWC79" s="26"/>
      <c r="BWD79" s="26"/>
      <c r="BWE79" s="26"/>
      <c r="BWF79" s="26"/>
      <c r="BWG79" s="26"/>
      <c r="BWH79" s="26"/>
      <c r="BWI79" s="26"/>
      <c r="BWJ79" s="26"/>
      <c r="BWK79" s="26"/>
      <c r="BWL79" s="26"/>
      <c r="BWM79" s="26"/>
      <c r="BWN79" s="26"/>
      <c r="BWO79" s="26"/>
      <c r="BWP79" s="26"/>
      <c r="BWQ79" s="26"/>
      <c r="BWR79" s="26"/>
      <c r="BWS79" s="26"/>
      <c r="BWT79" s="26"/>
      <c r="BWU79" s="26"/>
      <c r="BWV79" s="26"/>
      <c r="BWW79" s="26"/>
      <c r="BWX79" s="26"/>
      <c r="BWY79" s="26"/>
      <c r="BWZ79" s="26"/>
      <c r="BXA79" s="26"/>
      <c r="BXB79" s="26"/>
      <c r="BXC79" s="26"/>
      <c r="BXD79" s="26"/>
      <c r="BXE79" s="26"/>
      <c r="BXF79" s="26"/>
      <c r="BXG79" s="26"/>
      <c r="BXH79" s="26"/>
      <c r="BXI79" s="26"/>
      <c r="BXJ79" s="26"/>
      <c r="BXK79" s="26"/>
      <c r="BXL79" s="26"/>
      <c r="BXM79" s="26"/>
      <c r="BXN79" s="26"/>
      <c r="BXO79" s="26"/>
      <c r="BXP79" s="26"/>
      <c r="BXQ79" s="26"/>
      <c r="BXR79" s="26"/>
      <c r="BXS79" s="26"/>
      <c r="BXT79" s="26"/>
      <c r="BXU79" s="26"/>
      <c r="BXV79" s="26"/>
      <c r="BXW79" s="26"/>
      <c r="BXX79" s="26"/>
      <c r="BXY79" s="26"/>
      <c r="BXZ79" s="26"/>
      <c r="BYA79" s="26"/>
      <c r="BYB79" s="26"/>
      <c r="BYC79" s="26"/>
      <c r="BYD79" s="26"/>
      <c r="BYE79" s="26"/>
      <c r="BYF79" s="26"/>
      <c r="BYG79" s="26"/>
      <c r="BYH79" s="26"/>
      <c r="BYI79" s="26"/>
      <c r="BYJ79" s="26"/>
      <c r="BYK79" s="26"/>
      <c r="BYL79" s="26"/>
      <c r="BYM79" s="26"/>
      <c r="BYN79" s="26"/>
      <c r="BYO79" s="26"/>
      <c r="BYP79" s="26"/>
      <c r="BYQ79" s="26"/>
      <c r="BYR79" s="26"/>
      <c r="BYS79" s="26"/>
      <c r="BYT79" s="26"/>
      <c r="BYU79" s="26"/>
      <c r="BYV79" s="26"/>
      <c r="BYW79" s="26"/>
      <c r="BYX79" s="26"/>
      <c r="BYY79" s="26"/>
      <c r="BYZ79" s="26"/>
      <c r="BZA79" s="26"/>
      <c r="BZB79" s="26"/>
      <c r="BZC79" s="26"/>
      <c r="BZD79" s="26"/>
      <c r="BZE79" s="26"/>
      <c r="BZF79" s="26"/>
      <c r="BZG79" s="26"/>
      <c r="BZH79" s="26"/>
      <c r="BZI79" s="26"/>
      <c r="BZJ79" s="26"/>
      <c r="BZK79" s="26"/>
      <c r="BZL79" s="26"/>
      <c r="BZM79" s="26"/>
      <c r="BZN79" s="26"/>
      <c r="BZO79" s="26"/>
      <c r="BZP79" s="26"/>
      <c r="BZQ79" s="26"/>
      <c r="BZR79" s="26"/>
      <c r="BZS79" s="26"/>
      <c r="BZT79" s="26"/>
      <c r="BZU79" s="26"/>
      <c r="BZV79" s="26"/>
      <c r="BZW79" s="26"/>
      <c r="BZX79" s="26"/>
      <c r="BZY79" s="26"/>
      <c r="BZZ79" s="26"/>
      <c r="CAA79" s="26"/>
      <c r="CAB79" s="26"/>
      <c r="CAC79" s="26"/>
      <c r="CAD79" s="26"/>
      <c r="CAE79" s="26"/>
      <c r="CAF79" s="26"/>
      <c r="CAG79" s="26"/>
      <c r="CAH79" s="26"/>
      <c r="CAI79" s="26"/>
      <c r="CAJ79" s="26"/>
      <c r="CAK79" s="26"/>
      <c r="CAL79" s="26"/>
      <c r="CAM79" s="26"/>
      <c r="CAN79" s="26"/>
      <c r="CAO79" s="26"/>
      <c r="CAP79" s="26"/>
      <c r="CAQ79" s="26"/>
      <c r="CAR79" s="26"/>
      <c r="CAS79" s="26"/>
      <c r="CAT79" s="26"/>
      <c r="CAU79" s="26"/>
      <c r="CAV79" s="26"/>
      <c r="CAW79" s="26"/>
      <c r="CAX79" s="26"/>
      <c r="CAY79" s="26"/>
      <c r="CAZ79" s="26"/>
      <c r="CBA79" s="26"/>
      <c r="CBB79" s="26"/>
      <c r="CBC79" s="26"/>
      <c r="CBD79" s="26"/>
      <c r="CBE79" s="26"/>
      <c r="CBF79" s="26"/>
      <c r="CBG79" s="26"/>
      <c r="CBH79" s="26"/>
      <c r="CBI79" s="26"/>
      <c r="CBJ79" s="26"/>
      <c r="CBK79" s="26"/>
      <c r="CBL79" s="26"/>
      <c r="CBM79" s="26"/>
      <c r="CBN79" s="26"/>
      <c r="CBO79" s="26"/>
      <c r="CBP79" s="26"/>
      <c r="CBQ79" s="26"/>
      <c r="CBR79" s="26"/>
      <c r="CBS79" s="26"/>
      <c r="CBT79" s="26"/>
      <c r="CBU79" s="26"/>
      <c r="CBV79" s="26"/>
      <c r="CBW79" s="26"/>
      <c r="CBX79" s="26"/>
      <c r="CBY79" s="26"/>
      <c r="CBZ79" s="26"/>
      <c r="CCA79" s="26"/>
      <c r="CCB79" s="26"/>
      <c r="CCC79" s="26"/>
      <c r="CCD79" s="26"/>
      <c r="CCE79" s="26"/>
      <c r="CCF79" s="26"/>
      <c r="CCG79" s="26"/>
      <c r="CCH79" s="26"/>
      <c r="CCI79" s="26"/>
      <c r="CCJ79" s="26"/>
      <c r="CCK79" s="26"/>
      <c r="CCL79" s="26"/>
      <c r="CCM79" s="26"/>
      <c r="CCN79" s="26"/>
      <c r="CCO79" s="26"/>
      <c r="CCP79" s="26"/>
      <c r="CCQ79" s="26"/>
      <c r="CCR79" s="26"/>
      <c r="CCS79" s="26"/>
      <c r="CCT79" s="26"/>
      <c r="CCU79" s="26"/>
      <c r="CCV79" s="26"/>
      <c r="CCW79" s="26"/>
      <c r="CCX79" s="26"/>
      <c r="CCY79" s="26"/>
      <c r="CCZ79" s="26"/>
      <c r="CDA79" s="26"/>
      <c r="CDB79" s="26"/>
      <c r="CDC79" s="26"/>
      <c r="CDD79" s="26"/>
      <c r="CDE79" s="26"/>
      <c r="CDF79" s="26"/>
      <c r="CDG79" s="26"/>
      <c r="CDH79" s="26"/>
      <c r="CDI79" s="26"/>
      <c r="CDJ79" s="26"/>
      <c r="CDK79" s="26"/>
      <c r="CDL79" s="26"/>
      <c r="CDM79" s="26"/>
      <c r="CDN79" s="26"/>
      <c r="CDO79" s="26"/>
      <c r="CDP79" s="26"/>
      <c r="CDQ79" s="26"/>
      <c r="CDR79" s="26"/>
      <c r="CDS79" s="26"/>
      <c r="CDT79" s="26"/>
      <c r="CDU79" s="26"/>
      <c r="CDV79" s="26"/>
      <c r="CDW79" s="26"/>
      <c r="CDX79" s="26"/>
      <c r="CDY79" s="26"/>
      <c r="CDZ79" s="26"/>
      <c r="CEA79" s="26"/>
      <c r="CEB79" s="26"/>
      <c r="CEC79" s="26"/>
      <c r="CED79" s="26"/>
      <c r="CEE79" s="26"/>
      <c r="CEF79" s="26"/>
      <c r="CEG79" s="26"/>
      <c r="CEH79" s="26"/>
      <c r="CEI79" s="26"/>
      <c r="CEJ79" s="26"/>
      <c r="CEK79" s="26"/>
      <c r="CEL79" s="26"/>
      <c r="CEM79" s="26"/>
      <c r="CEN79" s="26"/>
      <c r="CEO79" s="26"/>
      <c r="CEP79" s="26"/>
      <c r="CEQ79" s="26"/>
      <c r="CER79" s="26"/>
      <c r="CES79" s="26"/>
      <c r="CET79" s="26"/>
      <c r="CEU79" s="26"/>
      <c r="CEV79" s="26"/>
      <c r="CEW79" s="26"/>
      <c r="CEX79" s="26"/>
      <c r="CEY79" s="26"/>
      <c r="CEZ79" s="26"/>
      <c r="CFA79" s="26"/>
      <c r="CFB79" s="26"/>
      <c r="CFC79" s="26"/>
      <c r="CFD79" s="26"/>
      <c r="CFE79" s="26"/>
      <c r="CFF79" s="26"/>
      <c r="CFG79" s="26"/>
      <c r="CFH79" s="26"/>
      <c r="CFI79" s="26"/>
      <c r="CFJ79" s="26"/>
      <c r="CFK79" s="26"/>
      <c r="CFL79" s="26"/>
      <c r="CFM79" s="26"/>
      <c r="CFN79" s="26"/>
      <c r="CFO79" s="26"/>
      <c r="CFP79" s="26"/>
      <c r="CFQ79" s="26"/>
      <c r="CFR79" s="26"/>
      <c r="CFS79" s="26"/>
      <c r="CFT79" s="26"/>
      <c r="CFU79" s="26"/>
      <c r="CFV79" s="26"/>
      <c r="CFW79" s="26"/>
      <c r="CFX79" s="26"/>
      <c r="CFY79" s="26"/>
      <c r="CFZ79" s="26"/>
      <c r="CGA79" s="26"/>
      <c r="CGB79" s="26"/>
      <c r="CGC79" s="26"/>
      <c r="CGD79" s="26"/>
      <c r="CGE79" s="26"/>
      <c r="CGF79" s="26"/>
      <c r="CGG79" s="26"/>
      <c r="CGH79" s="26"/>
      <c r="CGI79" s="26"/>
      <c r="CGJ79" s="26"/>
      <c r="CGK79" s="26"/>
      <c r="CGL79" s="26"/>
      <c r="CGM79" s="26"/>
      <c r="CGN79" s="26"/>
      <c r="CGO79" s="26"/>
      <c r="CGP79" s="26"/>
      <c r="CGQ79" s="26"/>
      <c r="CGR79" s="26"/>
      <c r="CGS79" s="26"/>
      <c r="CGT79" s="26"/>
      <c r="CGU79" s="26"/>
      <c r="CGV79" s="26"/>
      <c r="CGW79" s="26"/>
      <c r="CGX79" s="26"/>
      <c r="CGY79" s="26"/>
      <c r="CGZ79" s="26"/>
      <c r="CHA79" s="26"/>
      <c r="CHB79" s="26"/>
      <c r="CHC79" s="26"/>
      <c r="CHD79" s="26"/>
      <c r="CHE79" s="26"/>
      <c r="CHF79" s="26"/>
      <c r="CHG79" s="26"/>
      <c r="CHH79" s="26"/>
      <c r="CHI79" s="26"/>
      <c r="CHJ79" s="26"/>
      <c r="CHK79" s="26"/>
      <c r="CHL79" s="26"/>
      <c r="CHM79" s="26"/>
      <c r="CHN79" s="26"/>
      <c r="CHO79" s="26"/>
      <c r="CHP79" s="26"/>
      <c r="CHQ79" s="26"/>
      <c r="CHR79" s="26"/>
      <c r="CHS79" s="26"/>
      <c r="CHT79" s="26"/>
      <c r="CHU79" s="26"/>
      <c r="CHV79" s="26"/>
      <c r="CHW79" s="26"/>
      <c r="CHX79" s="26"/>
      <c r="CHY79" s="26"/>
      <c r="CHZ79" s="26"/>
      <c r="CIA79" s="26"/>
      <c r="CIB79" s="26"/>
      <c r="CIC79" s="26"/>
      <c r="CID79" s="26"/>
      <c r="CIE79" s="26"/>
      <c r="CIF79" s="26"/>
      <c r="CIG79" s="26"/>
      <c r="CIH79" s="26"/>
      <c r="CII79" s="26"/>
      <c r="CIJ79" s="26"/>
      <c r="CIK79" s="26"/>
      <c r="CIL79" s="26"/>
      <c r="CIM79" s="26"/>
      <c r="CIN79" s="26"/>
      <c r="CIO79" s="26"/>
      <c r="CIP79" s="26"/>
      <c r="CIQ79" s="26"/>
      <c r="CIR79" s="26"/>
      <c r="CIS79" s="26"/>
      <c r="CIT79" s="26"/>
      <c r="CIU79" s="26"/>
      <c r="CIV79" s="26"/>
      <c r="CIW79" s="26"/>
      <c r="CIX79" s="26"/>
      <c r="CIY79" s="26"/>
      <c r="CIZ79" s="26"/>
      <c r="CJA79" s="26"/>
      <c r="CJB79" s="26"/>
      <c r="CJC79" s="26"/>
      <c r="CJD79" s="26"/>
      <c r="CJE79" s="26"/>
      <c r="CJF79" s="26"/>
      <c r="CJG79" s="26"/>
      <c r="CJH79" s="26"/>
      <c r="CJI79" s="26"/>
      <c r="CJJ79" s="26"/>
      <c r="CJK79" s="26"/>
      <c r="CJL79" s="26"/>
      <c r="CJM79" s="26"/>
      <c r="CJN79" s="26"/>
      <c r="CJO79" s="26"/>
      <c r="CJP79" s="26"/>
      <c r="CJQ79" s="26"/>
      <c r="CJR79" s="26"/>
      <c r="CJS79" s="26"/>
      <c r="CJT79" s="26"/>
      <c r="CJU79" s="26"/>
      <c r="CJV79" s="26"/>
      <c r="CJW79" s="26"/>
      <c r="CJX79" s="26"/>
      <c r="CJY79" s="26"/>
      <c r="CJZ79" s="26"/>
      <c r="CKA79" s="26"/>
      <c r="CKB79" s="26"/>
      <c r="CKC79" s="26"/>
      <c r="CKD79" s="26"/>
      <c r="CKE79" s="26"/>
      <c r="CKF79" s="26"/>
      <c r="CKG79" s="26"/>
      <c r="CKH79" s="26"/>
      <c r="CKI79" s="26"/>
      <c r="CKJ79" s="26"/>
      <c r="CKK79" s="26"/>
      <c r="CKL79" s="26"/>
      <c r="CKM79" s="26"/>
      <c r="CKN79" s="26"/>
    </row>
    <row r="80" spans="1:2328" ht="18.600000000000001" customHeight="1" x14ac:dyDescent="0.25">
      <c r="A80" s="60" t="s">
        <v>21</v>
      </c>
      <c r="B80" s="2" t="s">
        <v>315</v>
      </c>
      <c r="C80" s="3" t="s">
        <v>2543</v>
      </c>
      <c r="D80" s="12" t="s">
        <v>490</v>
      </c>
      <c r="E80" s="12"/>
      <c r="F80" s="3" t="s">
        <v>4460</v>
      </c>
      <c r="G80" s="25">
        <v>10530</v>
      </c>
      <c r="H80" s="25">
        <v>9806</v>
      </c>
      <c r="I80" s="25">
        <v>567</v>
      </c>
      <c r="J80" s="25">
        <v>88</v>
      </c>
      <c r="K80" s="25">
        <v>0</v>
      </c>
      <c r="L80" s="25">
        <v>0</v>
      </c>
      <c r="M80" s="25">
        <v>0</v>
      </c>
      <c r="N80" s="31">
        <v>0</v>
      </c>
      <c r="O80" s="25">
        <v>0</v>
      </c>
      <c r="P80" s="25">
        <v>0</v>
      </c>
      <c r="Q80" s="25">
        <v>46</v>
      </c>
      <c r="R80" s="25">
        <v>12</v>
      </c>
      <c r="S80" s="25">
        <v>7</v>
      </c>
      <c r="T80" s="25">
        <v>2</v>
      </c>
      <c r="U80" s="61">
        <v>2</v>
      </c>
      <c r="V80" s="58">
        <v>0.53610000000000002</v>
      </c>
      <c r="W80" s="33">
        <v>0.52100000000000002</v>
      </c>
      <c r="X80" s="12" t="s">
        <v>3926</v>
      </c>
      <c r="Y80" s="33">
        <v>1.7600000000000001E-2</v>
      </c>
      <c r="Z80" s="12" t="s">
        <v>3926</v>
      </c>
      <c r="AA80" s="12" t="s">
        <v>3926</v>
      </c>
      <c r="AB80" s="25">
        <v>11</v>
      </c>
      <c r="AC80" s="25">
        <v>9</v>
      </c>
      <c r="AD80" s="25">
        <v>0</v>
      </c>
      <c r="AE80" s="25">
        <v>2</v>
      </c>
      <c r="AF80" s="25">
        <v>0</v>
      </c>
      <c r="AG80" s="25">
        <v>0</v>
      </c>
      <c r="AH80" s="25">
        <v>0</v>
      </c>
      <c r="AI80" s="12">
        <v>0.03</v>
      </c>
      <c r="AJ80" s="25">
        <v>3629</v>
      </c>
      <c r="AK80" s="25">
        <v>2800</v>
      </c>
      <c r="AL80" s="33">
        <v>3.3776000000000002</v>
      </c>
      <c r="AM80" s="3" t="s">
        <v>2543</v>
      </c>
      <c r="AN80" s="12" t="s">
        <v>5305</v>
      </c>
      <c r="AO80" s="12"/>
      <c r="AP80" s="12" t="str">
        <f>"280212665505125"</f>
        <v>280212665505125</v>
      </c>
      <c r="AQ80" s="12" t="s">
        <v>490</v>
      </c>
      <c r="AR80" s="12"/>
      <c r="AS80" s="12" t="s">
        <v>491</v>
      </c>
      <c r="AT80" s="12"/>
      <c r="AU80" s="12" t="s">
        <v>5257</v>
      </c>
      <c r="AV80" s="12" t="s">
        <v>6613</v>
      </c>
      <c r="AW80" s="12"/>
      <c r="AX80" s="12">
        <v>166</v>
      </c>
      <c r="AY80" s="12">
        <v>100</v>
      </c>
      <c r="AZ80" s="12">
        <v>166</v>
      </c>
      <c r="BA80" s="12" t="s">
        <v>492</v>
      </c>
      <c r="BB80" s="12" t="s">
        <v>6614</v>
      </c>
      <c r="BC80" s="12" t="s">
        <v>6615</v>
      </c>
      <c r="BD80" s="12"/>
      <c r="BE80" s="12" t="s">
        <v>2291</v>
      </c>
      <c r="BF80" s="12"/>
      <c r="BG80" s="12"/>
      <c r="BH80" s="12"/>
      <c r="BI80" s="12" t="s">
        <v>2544</v>
      </c>
      <c r="BJ80" s="12"/>
      <c r="BK80" s="12"/>
      <c r="BL80" s="12" t="s">
        <v>2292</v>
      </c>
      <c r="BM80" s="12" t="s">
        <v>2292</v>
      </c>
      <c r="BN80" s="12" t="s">
        <v>2292</v>
      </c>
      <c r="BO80" s="12" t="s">
        <v>2292</v>
      </c>
      <c r="BP80" s="12"/>
      <c r="BQ80" s="12"/>
      <c r="BR80" s="12"/>
      <c r="BS80" s="12"/>
      <c r="BT80" s="12">
        <v>700000000</v>
      </c>
      <c r="BU80" s="12" t="s">
        <v>326</v>
      </c>
      <c r="BV80" s="12"/>
      <c r="BW80" s="12" t="s">
        <v>493</v>
      </c>
      <c r="BX80" s="12"/>
      <c r="BY80" s="13" t="s">
        <v>313</v>
      </c>
      <c r="BZ80" s="13" t="s">
        <v>6172</v>
      </c>
      <c r="CA80" s="13" t="s">
        <v>6170</v>
      </c>
      <c r="CB80" s="13" t="s">
        <v>312</v>
      </c>
      <c r="CC80" s="13"/>
      <c r="CD80" s="13" t="s">
        <v>6198</v>
      </c>
      <c r="CE80" s="13"/>
      <c r="CF80" s="13"/>
    </row>
    <row r="81" spans="1:84" ht="18.600000000000001" customHeight="1" x14ac:dyDescent="0.25">
      <c r="A81" s="60" t="s">
        <v>21</v>
      </c>
      <c r="B81" s="2" t="s">
        <v>498</v>
      </c>
      <c r="C81" s="3" t="s">
        <v>2306</v>
      </c>
      <c r="D81" s="12" t="s">
        <v>494</v>
      </c>
      <c r="E81" s="12"/>
      <c r="F81" s="12" t="s">
        <v>4459</v>
      </c>
      <c r="G81" s="25">
        <v>5322</v>
      </c>
      <c r="H81" s="25">
        <v>4463</v>
      </c>
      <c r="I81" s="25">
        <v>365</v>
      </c>
      <c r="J81" s="25">
        <v>262</v>
      </c>
      <c r="K81" s="25">
        <v>0</v>
      </c>
      <c r="L81" s="25">
        <v>0</v>
      </c>
      <c r="M81" s="25">
        <v>0</v>
      </c>
      <c r="N81" s="31">
        <v>0</v>
      </c>
      <c r="O81" s="25">
        <v>20776</v>
      </c>
      <c r="P81" s="25">
        <v>0</v>
      </c>
      <c r="Q81" s="25">
        <v>182</v>
      </c>
      <c r="R81" s="25">
        <v>20</v>
      </c>
      <c r="S81" s="25">
        <v>2</v>
      </c>
      <c r="T81" s="25">
        <v>21</v>
      </c>
      <c r="U81" s="61">
        <v>7</v>
      </c>
      <c r="V81" s="58">
        <v>2.3999999999999998E-3</v>
      </c>
      <c r="W81" s="33">
        <v>2.5999999999999999E-3</v>
      </c>
      <c r="X81" s="33">
        <v>2.7000000000000001E-3</v>
      </c>
      <c r="Y81" s="33">
        <v>3.7000000000000002E-3</v>
      </c>
      <c r="Z81" s="12" t="s">
        <v>3926</v>
      </c>
      <c r="AA81" s="33">
        <v>2.9999999999999997E-4</v>
      </c>
      <c r="AB81" s="25">
        <v>45</v>
      </c>
      <c r="AC81" s="25">
        <v>19</v>
      </c>
      <c r="AD81" s="25">
        <v>11</v>
      </c>
      <c r="AE81" s="25">
        <v>2</v>
      </c>
      <c r="AF81" s="25">
        <v>0</v>
      </c>
      <c r="AG81" s="25">
        <v>11</v>
      </c>
      <c r="AH81" s="25">
        <v>2</v>
      </c>
      <c r="AI81" s="12">
        <v>0.1</v>
      </c>
      <c r="AJ81" s="25">
        <v>56005</v>
      </c>
      <c r="AK81" s="25">
        <v>9849</v>
      </c>
      <c r="AL81" s="33">
        <v>0.21340000000000001</v>
      </c>
      <c r="AM81" s="3" t="s">
        <v>2306</v>
      </c>
      <c r="AN81" s="12" t="s">
        <v>5232</v>
      </c>
      <c r="AO81" s="12"/>
      <c r="AP81" s="12" t="str">
        <f>"243558335851543"</f>
        <v>243558335851543</v>
      </c>
      <c r="AQ81" s="12" t="s">
        <v>494</v>
      </c>
      <c r="AR81" s="12" t="s">
        <v>6294</v>
      </c>
      <c r="AS81" s="12" t="s">
        <v>6295</v>
      </c>
      <c r="AT81" s="12" t="s">
        <v>495</v>
      </c>
      <c r="AU81" s="12" t="s">
        <v>424</v>
      </c>
      <c r="AV81" s="12"/>
      <c r="AW81" s="12"/>
      <c r="AX81" s="12">
        <v>0</v>
      </c>
      <c r="AY81" s="12">
        <v>731</v>
      </c>
      <c r="AZ81" s="12">
        <v>0</v>
      </c>
      <c r="BA81" s="12" t="s">
        <v>496</v>
      </c>
      <c r="BB81" s="12" t="s">
        <v>6296</v>
      </c>
      <c r="BC81" s="12" t="s">
        <v>6297</v>
      </c>
      <c r="BD81" s="12"/>
      <c r="BE81" s="12" t="s">
        <v>2291</v>
      </c>
      <c r="BF81" s="12"/>
      <c r="BG81" s="12"/>
      <c r="BH81" s="12"/>
      <c r="BI81" s="12"/>
      <c r="BJ81" s="12"/>
      <c r="BK81" s="12"/>
      <c r="BL81" s="12" t="s">
        <v>2292</v>
      </c>
      <c r="BM81" s="12" t="s">
        <v>2292</v>
      </c>
      <c r="BN81" s="12" t="s">
        <v>2292</v>
      </c>
      <c r="BO81" s="12" t="s">
        <v>2292</v>
      </c>
      <c r="BP81" s="12"/>
      <c r="BQ81" s="12"/>
      <c r="BR81" s="12"/>
      <c r="BS81" s="12"/>
      <c r="BT81" s="12">
        <v>254203318888</v>
      </c>
      <c r="BU81" s="12"/>
      <c r="BV81" s="12"/>
      <c r="BW81" s="12" t="s">
        <v>497</v>
      </c>
      <c r="BX81" s="12"/>
      <c r="BY81" s="13" t="s">
        <v>313</v>
      </c>
      <c r="BZ81" s="13" t="s">
        <v>6177</v>
      </c>
      <c r="CA81" s="13" t="s">
        <v>6170</v>
      </c>
      <c r="CB81" s="13" t="s">
        <v>312</v>
      </c>
      <c r="CC81" s="13"/>
      <c r="CD81" s="13" t="s">
        <v>6198</v>
      </c>
      <c r="CE81" s="13"/>
      <c r="CF81" s="13"/>
    </row>
    <row r="82" spans="1:84" ht="18.600000000000001" customHeight="1" x14ac:dyDescent="0.25">
      <c r="A82" s="60" t="s">
        <v>21</v>
      </c>
      <c r="B82" s="2" t="s">
        <v>335</v>
      </c>
      <c r="C82" s="3" t="s">
        <v>2500</v>
      </c>
      <c r="D82" s="12" t="s">
        <v>3569</v>
      </c>
      <c r="E82" s="12" t="s">
        <v>23</v>
      </c>
      <c r="F82" s="12" t="s">
        <v>4055</v>
      </c>
      <c r="G82" s="25">
        <v>16658</v>
      </c>
      <c r="H82" s="25">
        <v>13056</v>
      </c>
      <c r="I82" s="25">
        <v>492</v>
      </c>
      <c r="J82" s="25">
        <v>2847</v>
      </c>
      <c r="K82" s="25">
        <v>38251</v>
      </c>
      <c r="L82" s="25">
        <v>74999</v>
      </c>
      <c r="M82" s="25">
        <v>113250</v>
      </c>
      <c r="N82" s="31">
        <v>0.34</v>
      </c>
      <c r="O82" s="25">
        <v>5781</v>
      </c>
      <c r="P82" s="25">
        <v>413</v>
      </c>
      <c r="Q82" s="25">
        <v>210</v>
      </c>
      <c r="R82" s="25">
        <v>16</v>
      </c>
      <c r="S82" s="25">
        <v>12</v>
      </c>
      <c r="T82" s="25">
        <v>21</v>
      </c>
      <c r="U82" s="61">
        <v>4</v>
      </c>
      <c r="V82" s="58">
        <v>5.0000000000000001E-4</v>
      </c>
      <c r="W82" s="33">
        <v>1E-3</v>
      </c>
      <c r="X82" s="33">
        <v>6.9999999999999999E-4</v>
      </c>
      <c r="Y82" s="33">
        <v>1E-4</v>
      </c>
      <c r="Z82" s="33">
        <v>5.7000000000000002E-3</v>
      </c>
      <c r="AA82" s="33">
        <v>2.9999999999999997E-4</v>
      </c>
      <c r="AB82" s="25">
        <v>1946</v>
      </c>
      <c r="AC82" s="25">
        <v>123</v>
      </c>
      <c r="AD82" s="25">
        <v>819</v>
      </c>
      <c r="AE82" s="25">
        <v>940</v>
      </c>
      <c r="AF82" s="25">
        <v>26</v>
      </c>
      <c r="AG82" s="25">
        <v>19</v>
      </c>
      <c r="AH82" s="25">
        <v>19</v>
      </c>
      <c r="AI82" s="12">
        <v>4.43</v>
      </c>
      <c r="AJ82" s="25">
        <v>18968</v>
      </c>
      <c r="AK82" s="25">
        <v>5402</v>
      </c>
      <c r="AL82" s="33">
        <v>0.3982</v>
      </c>
      <c r="AM82" s="3" t="s">
        <v>2500</v>
      </c>
      <c r="AN82" s="12" t="s">
        <v>23</v>
      </c>
      <c r="AO82" s="12" t="s">
        <v>23</v>
      </c>
      <c r="AP82" s="12" t="str">
        <f>"654796897864059"</f>
        <v>654796897864059</v>
      </c>
      <c r="AQ82" s="12" t="s">
        <v>3569</v>
      </c>
      <c r="AR82" s="12" t="s">
        <v>499</v>
      </c>
      <c r="AS82" s="12" t="s">
        <v>2501</v>
      </c>
      <c r="AT82" s="12"/>
      <c r="AU82" s="12" t="s">
        <v>324</v>
      </c>
      <c r="AV82" s="12" t="s">
        <v>5769</v>
      </c>
      <c r="AW82" s="12"/>
      <c r="AX82" s="12">
        <v>1136</v>
      </c>
      <c r="AY82" s="12">
        <v>535</v>
      </c>
      <c r="AZ82" s="12">
        <v>1136</v>
      </c>
      <c r="BA82" s="12" t="s">
        <v>500</v>
      </c>
      <c r="BB82" s="12" t="s">
        <v>6556</v>
      </c>
      <c r="BC82" s="12" t="s">
        <v>6557</v>
      </c>
      <c r="BD82" s="12"/>
      <c r="BE82" s="12" t="s">
        <v>2291</v>
      </c>
      <c r="BF82" s="12"/>
      <c r="BG82" s="12"/>
      <c r="BH82" s="12"/>
      <c r="BI82" s="12"/>
      <c r="BJ82" s="12"/>
      <c r="BK82" s="12"/>
      <c r="BL82" s="12" t="s">
        <v>2292</v>
      </c>
      <c r="BM82" s="12" t="s">
        <v>2292</v>
      </c>
      <c r="BN82" s="12" t="s">
        <v>2292</v>
      </c>
      <c r="BO82" s="12" t="s">
        <v>2292</v>
      </c>
      <c r="BP82" s="12"/>
      <c r="BQ82" s="12"/>
      <c r="BR82" s="12"/>
      <c r="BS82" s="12"/>
      <c r="BT82" s="12">
        <v>254203318888</v>
      </c>
      <c r="BU82" s="12" t="s">
        <v>326</v>
      </c>
      <c r="BV82" s="12"/>
      <c r="BW82" s="12" t="s">
        <v>5285</v>
      </c>
      <c r="BX82" s="12"/>
      <c r="BY82" s="13" t="s">
        <v>313</v>
      </c>
      <c r="BZ82" s="13" t="s">
        <v>6177</v>
      </c>
      <c r="CA82" s="13" t="s">
        <v>6170</v>
      </c>
      <c r="CB82" s="13" t="s">
        <v>6201</v>
      </c>
      <c r="CC82" s="13"/>
      <c r="CD82" s="13" t="s">
        <v>6198</v>
      </c>
      <c r="CE82" s="13"/>
      <c r="CF82" s="13"/>
    </row>
    <row r="83" spans="1:84" ht="18.600000000000001" customHeight="1" x14ac:dyDescent="0.25">
      <c r="A83" s="63" t="s">
        <v>58</v>
      </c>
      <c r="B83" s="27" t="s">
        <v>335</v>
      </c>
      <c r="C83" s="3" t="s">
        <v>2782</v>
      </c>
      <c r="D83" s="12" t="s">
        <v>506</v>
      </c>
      <c r="E83" s="12" t="s">
        <v>505</v>
      </c>
      <c r="F83" s="12" t="s">
        <v>4215</v>
      </c>
      <c r="G83" s="25">
        <v>116</v>
      </c>
      <c r="H83" s="25">
        <v>70</v>
      </c>
      <c r="I83" s="25">
        <v>22</v>
      </c>
      <c r="J83" s="25">
        <v>21</v>
      </c>
      <c r="K83" s="25">
        <v>0</v>
      </c>
      <c r="L83" s="25">
        <v>0</v>
      </c>
      <c r="M83" s="25">
        <v>0</v>
      </c>
      <c r="N83" s="31">
        <v>0</v>
      </c>
      <c r="O83" s="25">
        <v>0</v>
      </c>
      <c r="P83" s="25">
        <v>0</v>
      </c>
      <c r="Q83" s="25">
        <v>3</v>
      </c>
      <c r="R83" s="25">
        <v>0</v>
      </c>
      <c r="S83" s="25">
        <v>0</v>
      </c>
      <c r="T83" s="25">
        <v>0</v>
      </c>
      <c r="U83" s="61">
        <v>0</v>
      </c>
      <c r="V83" s="58">
        <v>6.7000000000000002E-3</v>
      </c>
      <c r="W83" s="33">
        <v>2E-3</v>
      </c>
      <c r="X83" s="12" t="s">
        <v>3926</v>
      </c>
      <c r="Y83" s="33">
        <v>8.0000000000000002E-3</v>
      </c>
      <c r="Z83" s="12" t="s">
        <v>3926</v>
      </c>
      <c r="AA83" s="12" t="s">
        <v>3926</v>
      </c>
      <c r="AB83" s="25">
        <v>5</v>
      </c>
      <c r="AC83" s="25">
        <v>1</v>
      </c>
      <c r="AD83" s="25">
        <v>0</v>
      </c>
      <c r="AE83" s="25">
        <v>4</v>
      </c>
      <c r="AF83" s="25">
        <v>0</v>
      </c>
      <c r="AG83" s="25">
        <v>0</v>
      </c>
      <c r="AH83" s="25">
        <v>0</v>
      </c>
      <c r="AI83" s="12">
        <v>0.01</v>
      </c>
      <c r="AJ83" s="25">
        <v>3554</v>
      </c>
      <c r="AK83" s="25">
        <v>287</v>
      </c>
      <c r="AL83" s="33">
        <v>8.7800000000000003E-2</v>
      </c>
      <c r="AM83" s="3" t="s">
        <v>2782</v>
      </c>
      <c r="AN83" s="12" t="s">
        <v>505</v>
      </c>
      <c r="AO83" s="12" t="s">
        <v>505</v>
      </c>
      <c r="AP83" s="12" t="str">
        <f>"197790643722048"</f>
        <v>197790643722048</v>
      </c>
      <c r="AQ83" s="12" t="s">
        <v>506</v>
      </c>
      <c r="AR83" s="12" t="s">
        <v>507</v>
      </c>
      <c r="AS83" s="12" t="s">
        <v>2783</v>
      </c>
      <c r="AT83" s="12"/>
      <c r="AU83" s="12" t="s">
        <v>324</v>
      </c>
      <c r="AV83" s="12" t="s">
        <v>5823</v>
      </c>
      <c r="AW83" s="12"/>
      <c r="AX83" s="12">
        <v>83</v>
      </c>
      <c r="AY83" s="12">
        <v>9</v>
      </c>
      <c r="AZ83" s="12">
        <v>83</v>
      </c>
      <c r="BA83" s="12" t="s">
        <v>508</v>
      </c>
      <c r="BB83" s="12" t="s">
        <v>6937</v>
      </c>
      <c r="BC83" s="12" t="s">
        <v>6938</v>
      </c>
      <c r="BD83" s="12"/>
      <c r="BE83" s="12" t="s">
        <v>2291</v>
      </c>
      <c r="BF83" s="12"/>
      <c r="BG83" s="12"/>
      <c r="BH83" s="12"/>
      <c r="BI83" s="12"/>
      <c r="BJ83" s="12"/>
      <c r="BK83" s="12" t="s">
        <v>6278</v>
      </c>
      <c r="BL83" s="12" t="s">
        <v>2292</v>
      </c>
      <c r="BM83" s="12" t="s">
        <v>2292</v>
      </c>
      <c r="BN83" s="12" t="s">
        <v>2292</v>
      </c>
      <c r="BO83" s="12" t="s">
        <v>2292</v>
      </c>
      <c r="BP83" s="12" t="s">
        <v>509</v>
      </c>
      <c r="BQ83" s="12"/>
      <c r="BR83" s="12"/>
      <c r="BS83" s="12"/>
      <c r="BT83" s="12"/>
      <c r="BU83" s="12" t="s">
        <v>326</v>
      </c>
      <c r="BV83" s="12"/>
      <c r="BW83" s="12" t="s">
        <v>510</v>
      </c>
      <c r="BX83" s="12"/>
      <c r="BY83" s="13" t="s">
        <v>313</v>
      </c>
      <c r="BZ83" s="13" t="s">
        <v>6170</v>
      </c>
      <c r="CA83" s="13" t="s">
        <v>6170</v>
      </c>
      <c r="CB83" s="13" t="s">
        <v>312</v>
      </c>
      <c r="CC83" s="13"/>
      <c r="CD83" s="13" t="s">
        <v>6198</v>
      </c>
      <c r="CE83" s="13"/>
      <c r="CF83" s="13"/>
    </row>
    <row r="84" spans="1:84" ht="18.600000000000001" customHeight="1" x14ac:dyDescent="0.25">
      <c r="A84" s="60" t="s">
        <v>24</v>
      </c>
      <c r="B84" s="2" t="s">
        <v>5635</v>
      </c>
      <c r="C84" s="3" t="s">
        <v>5640</v>
      </c>
      <c r="D84" s="12" t="s">
        <v>5647</v>
      </c>
      <c r="E84" s="12" t="s">
        <v>5648</v>
      </c>
      <c r="F84" s="12" t="s">
        <v>5649</v>
      </c>
      <c r="G84" s="25">
        <v>107466</v>
      </c>
      <c r="H84" s="25">
        <v>82560</v>
      </c>
      <c r="I84" s="25">
        <v>9716</v>
      </c>
      <c r="J84" s="25">
        <v>10820</v>
      </c>
      <c r="K84" s="25">
        <v>87548</v>
      </c>
      <c r="L84" s="25">
        <v>61852</v>
      </c>
      <c r="M84" s="25">
        <v>149400</v>
      </c>
      <c r="N84" s="31">
        <v>0.59</v>
      </c>
      <c r="O84" s="25">
        <v>1396</v>
      </c>
      <c r="P84" s="25">
        <v>9370</v>
      </c>
      <c r="Q84" s="25">
        <v>3905</v>
      </c>
      <c r="R84" s="25">
        <v>292</v>
      </c>
      <c r="S84" s="25">
        <v>108</v>
      </c>
      <c r="T84" s="25">
        <v>39</v>
      </c>
      <c r="U84" s="61">
        <v>26</v>
      </c>
      <c r="V84" s="58">
        <v>8.8000000000000005E-3</v>
      </c>
      <c r="W84" s="33">
        <v>1.17E-2</v>
      </c>
      <c r="X84" s="33">
        <v>3.7000000000000002E-3</v>
      </c>
      <c r="Y84" s="33">
        <v>8.0000000000000002E-3</v>
      </c>
      <c r="Z84" s="33">
        <v>7.6E-3</v>
      </c>
      <c r="AA84" s="33">
        <v>1E-3</v>
      </c>
      <c r="AB84" s="25">
        <v>100</v>
      </c>
      <c r="AC84" s="25">
        <v>48</v>
      </c>
      <c r="AD84" s="25">
        <v>16</v>
      </c>
      <c r="AE84" s="25">
        <v>22</v>
      </c>
      <c r="AF84" s="25">
        <v>10</v>
      </c>
      <c r="AG84" s="25">
        <v>3</v>
      </c>
      <c r="AH84" s="25">
        <v>1</v>
      </c>
      <c r="AI84" s="12">
        <v>0.23</v>
      </c>
      <c r="AJ84" s="25">
        <v>137427</v>
      </c>
      <c r="AK84" s="25">
        <v>0</v>
      </c>
      <c r="AL84" s="31">
        <v>0</v>
      </c>
      <c r="AM84" s="3" t="s">
        <v>5640</v>
      </c>
      <c r="AN84" s="12" t="s">
        <v>5648</v>
      </c>
      <c r="AO84" s="12" t="s">
        <v>5648</v>
      </c>
      <c r="AP84" s="12" t="str">
        <f>"227044367457165"</f>
        <v>227044367457165</v>
      </c>
      <c r="AQ84" s="12" t="s">
        <v>5647</v>
      </c>
      <c r="AR84" s="12"/>
      <c r="AS84" s="12" t="s">
        <v>5837</v>
      </c>
      <c r="AT84" s="12" t="s">
        <v>5838</v>
      </c>
      <c r="AU84" s="12" t="s">
        <v>309</v>
      </c>
      <c r="AV84" s="12"/>
      <c r="AW84" s="12"/>
      <c r="AX84" s="12">
        <v>35</v>
      </c>
      <c r="AY84" s="12">
        <v>15345</v>
      </c>
      <c r="AZ84" s="12">
        <v>0</v>
      </c>
      <c r="BA84" s="12" t="s">
        <v>5839</v>
      </c>
      <c r="BB84" s="12"/>
      <c r="BC84" s="12" t="s">
        <v>6637</v>
      </c>
      <c r="BD84" s="12"/>
      <c r="BE84" s="12" t="s">
        <v>2291</v>
      </c>
      <c r="BF84" s="12"/>
      <c r="BG84" s="12"/>
      <c r="BH84" s="12"/>
      <c r="BI84" s="12"/>
      <c r="BJ84" s="12"/>
      <c r="BK84" s="12"/>
      <c r="BL84" s="12" t="s">
        <v>2292</v>
      </c>
      <c r="BM84" s="12" t="s">
        <v>2292</v>
      </c>
      <c r="BN84" s="12" t="s">
        <v>2292</v>
      </c>
      <c r="BO84" s="12" t="s">
        <v>2291</v>
      </c>
      <c r="BP84" s="12"/>
      <c r="BQ84" s="12"/>
      <c r="BR84" s="12"/>
      <c r="BS84" s="12"/>
      <c r="BT84" s="12"/>
      <c r="BU84" s="12"/>
      <c r="BV84" s="12"/>
      <c r="BW84" s="12"/>
      <c r="BX84" s="12"/>
      <c r="BY84" s="13" t="s">
        <v>313</v>
      </c>
      <c r="BZ84" s="13" t="s">
        <v>312</v>
      </c>
      <c r="CA84" s="13"/>
      <c r="CB84" s="13"/>
      <c r="CC84" s="13"/>
      <c r="CD84" s="13"/>
      <c r="CE84" s="13"/>
      <c r="CF84" s="13"/>
    </row>
    <row r="85" spans="1:84" ht="18.600000000000001" customHeight="1" x14ac:dyDescent="0.25">
      <c r="A85" s="60" t="s">
        <v>24</v>
      </c>
      <c r="B85" s="2" t="s">
        <v>314</v>
      </c>
      <c r="C85" s="3" t="s">
        <v>3118</v>
      </c>
      <c r="D85" s="12" t="s">
        <v>511</v>
      </c>
      <c r="E85" s="12" t="s">
        <v>25</v>
      </c>
      <c r="F85" s="12" t="s">
        <v>4035</v>
      </c>
      <c r="G85" s="25">
        <v>0</v>
      </c>
      <c r="H85" s="25">
        <v>0</v>
      </c>
      <c r="I85" s="25">
        <v>0</v>
      </c>
      <c r="J85" s="25">
        <v>0</v>
      </c>
      <c r="K85" s="25">
        <v>0</v>
      </c>
      <c r="L85" s="25">
        <v>0</v>
      </c>
      <c r="M85" s="25">
        <v>0</v>
      </c>
      <c r="N85" s="31">
        <v>0</v>
      </c>
      <c r="O85" s="25">
        <v>0</v>
      </c>
      <c r="P85" s="25">
        <v>0</v>
      </c>
      <c r="Q85" s="25">
        <v>0</v>
      </c>
      <c r="R85" s="25">
        <v>0</v>
      </c>
      <c r="S85" s="25">
        <v>0</v>
      </c>
      <c r="T85" s="25">
        <v>0</v>
      </c>
      <c r="U85" s="61">
        <v>0</v>
      </c>
      <c r="V85" s="59"/>
      <c r="W85" s="12" t="s">
        <v>3926</v>
      </c>
      <c r="X85" s="12" t="s">
        <v>3926</v>
      </c>
      <c r="Y85" s="12" t="s">
        <v>3926</v>
      </c>
      <c r="Z85" s="12" t="s">
        <v>3926</v>
      </c>
      <c r="AA85" s="12" t="s">
        <v>3926</v>
      </c>
      <c r="AB85" s="25" t="s">
        <v>3927</v>
      </c>
      <c r="AC85" s="25">
        <v>0</v>
      </c>
      <c r="AD85" s="25">
        <v>0</v>
      </c>
      <c r="AE85" s="25">
        <v>0</v>
      </c>
      <c r="AF85" s="25">
        <v>0</v>
      </c>
      <c r="AG85" s="25">
        <v>0</v>
      </c>
      <c r="AH85" s="25">
        <v>0</v>
      </c>
      <c r="AI85" s="12">
        <v>0</v>
      </c>
      <c r="AJ85" s="25">
        <v>4637</v>
      </c>
      <c r="AK85" s="25">
        <v>667</v>
      </c>
      <c r="AL85" s="33">
        <v>0.16800000000000001</v>
      </c>
      <c r="AM85" s="3" t="s">
        <v>3118</v>
      </c>
      <c r="AN85" s="12" t="s">
        <v>25</v>
      </c>
      <c r="AO85" s="12" t="s">
        <v>25</v>
      </c>
      <c r="AP85" s="12" t="str">
        <f>"310591779028211"</f>
        <v>310591779028211</v>
      </c>
      <c r="AQ85" s="12" t="s">
        <v>511</v>
      </c>
      <c r="AR85" s="12" t="s">
        <v>512</v>
      </c>
      <c r="AS85" s="12" t="s">
        <v>513</v>
      </c>
      <c r="AT85" s="12"/>
      <c r="AU85" s="12" t="s">
        <v>324</v>
      </c>
      <c r="AV85" s="12"/>
      <c r="AW85" s="12" t="s">
        <v>3104</v>
      </c>
      <c r="AX85" s="12">
        <v>0</v>
      </c>
      <c r="AY85" s="12">
        <v>75</v>
      </c>
      <c r="AZ85" s="12">
        <v>0</v>
      </c>
      <c r="BA85" s="12" t="s">
        <v>514</v>
      </c>
      <c r="BB85" s="12" t="s">
        <v>5811</v>
      </c>
      <c r="BC85" s="12" t="s">
        <v>6503</v>
      </c>
      <c r="BD85" s="12"/>
      <c r="BE85" s="12" t="s">
        <v>2291</v>
      </c>
      <c r="BF85" s="12"/>
      <c r="BG85" s="12"/>
      <c r="BH85" s="12"/>
      <c r="BI85" s="12"/>
      <c r="BJ85" s="12"/>
      <c r="BK85" s="12"/>
      <c r="BL85" s="12" t="s">
        <v>2292</v>
      </c>
      <c r="BM85" s="12" t="s">
        <v>2292</v>
      </c>
      <c r="BN85" s="12" t="s">
        <v>2292</v>
      </c>
      <c r="BO85" s="12" t="s">
        <v>2292</v>
      </c>
      <c r="BP85" s="12"/>
      <c r="BQ85" s="12"/>
      <c r="BR85" s="12"/>
      <c r="BS85" s="12"/>
      <c r="BT85" s="12"/>
      <c r="BU85" s="12"/>
      <c r="BV85" s="12"/>
      <c r="BW85" s="12" t="s">
        <v>515</v>
      </c>
      <c r="BX85" s="12"/>
      <c r="BY85" s="14" t="s">
        <v>516</v>
      </c>
      <c r="BZ85" s="13" t="s">
        <v>6170</v>
      </c>
      <c r="CA85" s="13" t="s">
        <v>6170</v>
      </c>
      <c r="CB85" s="13" t="s">
        <v>6199</v>
      </c>
      <c r="CC85" s="13"/>
      <c r="CD85" s="13" t="s">
        <v>6198</v>
      </c>
      <c r="CE85" s="13"/>
      <c r="CF85" s="13"/>
    </row>
    <row r="86" spans="1:84" ht="18.600000000000001" customHeight="1" x14ac:dyDescent="0.25">
      <c r="A86" s="63" t="s">
        <v>24</v>
      </c>
      <c r="B86" s="27" t="s">
        <v>335</v>
      </c>
      <c r="C86" s="3" t="s">
        <v>2760</v>
      </c>
      <c r="D86" s="12" t="s">
        <v>517</v>
      </c>
      <c r="E86" s="12"/>
      <c r="F86" s="12" t="s">
        <v>4467</v>
      </c>
      <c r="G86" s="25">
        <v>96</v>
      </c>
      <c r="H86" s="25">
        <v>82</v>
      </c>
      <c r="I86" s="25">
        <v>4</v>
      </c>
      <c r="J86" s="25">
        <v>10</v>
      </c>
      <c r="K86" s="25">
        <v>0</v>
      </c>
      <c r="L86" s="25">
        <v>0</v>
      </c>
      <c r="M86" s="25">
        <v>0</v>
      </c>
      <c r="N86" s="31">
        <v>0</v>
      </c>
      <c r="O86" s="25">
        <v>231</v>
      </c>
      <c r="P86" s="25">
        <v>0</v>
      </c>
      <c r="Q86" s="25">
        <v>0</v>
      </c>
      <c r="R86" s="25">
        <v>0</v>
      </c>
      <c r="S86" s="25">
        <v>0</v>
      </c>
      <c r="T86" s="25">
        <v>0</v>
      </c>
      <c r="U86" s="61">
        <v>0</v>
      </c>
      <c r="V86" s="58">
        <v>1.6999999999999999E-3</v>
      </c>
      <c r="W86" s="33">
        <v>2.0999999999999999E-3</v>
      </c>
      <c r="X86" s="33">
        <v>0</v>
      </c>
      <c r="Y86" s="12" t="s">
        <v>3926</v>
      </c>
      <c r="Z86" s="12" t="s">
        <v>3926</v>
      </c>
      <c r="AA86" s="12" t="s">
        <v>3926</v>
      </c>
      <c r="AB86" s="25">
        <v>24</v>
      </c>
      <c r="AC86" s="25">
        <v>18</v>
      </c>
      <c r="AD86" s="25">
        <v>3</v>
      </c>
      <c r="AE86" s="25">
        <v>0</v>
      </c>
      <c r="AF86" s="25">
        <v>0</v>
      </c>
      <c r="AG86" s="25">
        <v>3</v>
      </c>
      <c r="AH86" s="25">
        <v>0</v>
      </c>
      <c r="AI86" s="12">
        <v>0.05</v>
      </c>
      <c r="AJ86" s="25">
        <v>2499</v>
      </c>
      <c r="AK86" s="25">
        <v>245</v>
      </c>
      <c r="AL86" s="33">
        <v>0.1087</v>
      </c>
      <c r="AM86" s="3" t="s">
        <v>2760</v>
      </c>
      <c r="AN86" s="12" t="s">
        <v>5382</v>
      </c>
      <c r="AO86" s="12"/>
      <c r="AP86" s="12" t="str">
        <f>"371689359570483"</f>
        <v>371689359570483</v>
      </c>
      <c r="AQ86" s="12" t="s">
        <v>517</v>
      </c>
      <c r="AR86" s="12" t="s">
        <v>518</v>
      </c>
      <c r="AS86" s="12" t="s">
        <v>519</v>
      </c>
      <c r="AT86" s="12"/>
      <c r="AU86" s="12" t="s">
        <v>324</v>
      </c>
      <c r="AV86" s="12"/>
      <c r="AW86" s="12"/>
      <c r="AX86" s="12">
        <v>0</v>
      </c>
      <c r="AY86" s="12">
        <v>27</v>
      </c>
      <c r="AZ86" s="12">
        <v>0</v>
      </c>
      <c r="BA86" s="12" t="s">
        <v>520</v>
      </c>
      <c r="BB86" s="12" t="s">
        <v>5915</v>
      </c>
      <c r="BC86" s="12" t="s">
        <v>6906</v>
      </c>
      <c r="BD86" s="12"/>
      <c r="BE86" s="12" t="s">
        <v>2291</v>
      </c>
      <c r="BF86" s="12"/>
      <c r="BG86" s="12"/>
      <c r="BH86" s="12"/>
      <c r="BI86" s="12"/>
      <c r="BJ86" s="12"/>
      <c r="BK86" s="12"/>
      <c r="BL86" s="12" t="s">
        <v>2292</v>
      </c>
      <c r="BM86" s="12" t="s">
        <v>2292</v>
      </c>
      <c r="BN86" s="12" t="s">
        <v>2292</v>
      </c>
      <c r="BO86" s="12" t="s">
        <v>2292</v>
      </c>
      <c r="BP86" s="12" t="s">
        <v>2761</v>
      </c>
      <c r="BQ86" s="12"/>
      <c r="BR86" s="12"/>
      <c r="BS86" s="12"/>
      <c r="BT86" s="12"/>
      <c r="BU86" s="12"/>
      <c r="BV86" s="12"/>
      <c r="BW86" s="12" t="s">
        <v>521</v>
      </c>
      <c r="BX86" s="12"/>
      <c r="BY86" s="13" t="s">
        <v>313</v>
      </c>
      <c r="BZ86" s="13" t="s">
        <v>6170</v>
      </c>
      <c r="CA86" s="13" t="s">
        <v>6170</v>
      </c>
      <c r="CB86" s="13" t="s">
        <v>312</v>
      </c>
      <c r="CC86" s="13"/>
      <c r="CD86" s="13" t="s">
        <v>6198</v>
      </c>
      <c r="CE86" s="13"/>
      <c r="CF86" s="13"/>
    </row>
    <row r="87" spans="1:84" ht="18.600000000000001" customHeight="1" x14ac:dyDescent="0.25">
      <c r="A87" s="35" t="s">
        <v>26</v>
      </c>
      <c r="B87" s="13" t="s">
        <v>315</v>
      </c>
      <c r="C87" s="3" t="s">
        <v>2663</v>
      </c>
      <c r="D87" s="12" t="s">
        <v>4150</v>
      </c>
      <c r="E87" s="12" t="s">
        <v>522</v>
      </c>
      <c r="F87" s="12" t="s">
        <v>4151</v>
      </c>
      <c r="G87" s="25">
        <v>173468</v>
      </c>
      <c r="H87" s="25">
        <v>148084</v>
      </c>
      <c r="I87" s="25">
        <v>13408</v>
      </c>
      <c r="J87" s="25">
        <v>7861</v>
      </c>
      <c r="K87" s="25">
        <v>59693</v>
      </c>
      <c r="L87" s="25">
        <v>14128</v>
      </c>
      <c r="M87" s="25">
        <v>73821</v>
      </c>
      <c r="N87" s="31">
        <v>0.81</v>
      </c>
      <c r="O87" s="25">
        <v>0</v>
      </c>
      <c r="P87" s="25">
        <v>0</v>
      </c>
      <c r="Q87" s="25">
        <v>870</v>
      </c>
      <c r="R87" s="25">
        <v>223</v>
      </c>
      <c r="S87" s="25">
        <v>2528</v>
      </c>
      <c r="T87" s="25">
        <v>149</v>
      </c>
      <c r="U87" s="61">
        <v>345</v>
      </c>
      <c r="V87" s="58">
        <v>5.9999999999999995E-4</v>
      </c>
      <c r="W87" s="33">
        <v>5.9999999999999995E-4</v>
      </c>
      <c r="X87" s="33">
        <v>2.0000000000000001E-4</v>
      </c>
      <c r="Y87" s="33">
        <v>8.9999999999999998E-4</v>
      </c>
      <c r="Z87" s="33">
        <v>5.0000000000000001E-4</v>
      </c>
      <c r="AA87" s="33">
        <v>2.9999999999999997E-4</v>
      </c>
      <c r="AB87" s="25">
        <v>815</v>
      </c>
      <c r="AC87" s="25">
        <v>681</v>
      </c>
      <c r="AD87" s="25">
        <v>13</v>
      </c>
      <c r="AE87" s="25">
        <v>6</v>
      </c>
      <c r="AF87" s="25">
        <v>20</v>
      </c>
      <c r="AG87" s="25">
        <v>0</v>
      </c>
      <c r="AH87" s="25">
        <v>95</v>
      </c>
      <c r="AI87" s="12">
        <v>1.86</v>
      </c>
      <c r="AJ87" s="25">
        <v>408290</v>
      </c>
      <c r="AK87" s="25">
        <v>58346</v>
      </c>
      <c r="AL87" s="33">
        <v>0.16669999999999999</v>
      </c>
      <c r="AM87" s="3" t="s">
        <v>2663</v>
      </c>
      <c r="AN87" s="12" t="s">
        <v>522</v>
      </c>
      <c r="AO87" s="12" t="s">
        <v>522</v>
      </c>
      <c r="AP87" s="12" t="str">
        <f>"292681774185269"</f>
        <v>292681774185269</v>
      </c>
      <c r="AQ87" s="12" t="s">
        <v>4150</v>
      </c>
      <c r="AR87" s="12" t="s">
        <v>525</v>
      </c>
      <c r="AS87" s="12" t="s">
        <v>4581</v>
      </c>
      <c r="AT87" s="12"/>
      <c r="AU87" s="12" t="s">
        <v>324</v>
      </c>
      <c r="AV87" s="12" t="s">
        <v>5731</v>
      </c>
      <c r="AW87" s="12"/>
      <c r="AX87" s="12">
        <v>12469</v>
      </c>
      <c r="AY87" s="12">
        <v>2851</v>
      </c>
      <c r="AZ87" s="12">
        <v>0</v>
      </c>
      <c r="BA87" s="12" t="s">
        <v>523</v>
      </c>
      <c r="BB87" s="12" t="s">
        <v>6765</v>
      </c>
      <c r="BC87" s="12" t="s">
        <v>6766</v>
      </c>
      <c r="BD87" s="12"/>
      <c r="BE87" s="12" t="s">
        <v>2291</v>
      </c>
      <c r="BF87" s="12"/>
      <c r="BG87" s="12"/>
      <c r="BH87" s="12"/>
      <c r="BI87" s="12"/>
      <c r="BJ87" s="12"/>
      <c r="BK87" s="12"/>
      <c r="BL87" s="12" t="s">
        <v>2292</v>
      </c>
      <c r="BM87" s="12" t="s">
        <v>2292</v>
      </c>
      <c r="BN87" s="12" t="s">
        <v>2292</v>
      </c>
      <c r="BO87" s="12" t="s">
        <v>2291</v>
      </c>
      <c r="BP87" s="12"/>
      <c r="BQ87" s="12"/>
      <c r="BR87" s="12"/>
      <c r="BS87" s="12"/>
      <c r="BT87" s="12"/>
      <c r="BU87" s="12" t="s">
        <v>326</v>
      </c>
      <c r="BV87" s="12"/>
      <c r="BW87" s="12" t="s">
        <v>4582</v>
      </c>
      <c r="BX87" s="12"/>
      <c r="BY87" s="13" t="s">
        <v>313</v>
      </c>
      <c r="BZ87" s="13" t="s">
        <v>312</v>
      </c>
      <c r="CA87" s="13"/>
      <c r="CB87" s="13"/>
      <c r="CC87" s="13"/>
      <c r="CD87" s="13"/>
      <c r="CE87" s="13"/>
      <c r="CF87" s="13"/>
    </row>
    <row r="88" spans="1:84" ht="18.600000000000001" customHeight="1" x14ac:dyDescent="0.25">
      <c r="A88" s="60" t="s">
        <v>26</v>
      </c>
      <c r="B88" s="2" t="s">
        <v>315</v>
      </c>
      <c r="C88" s="3" t="s">
        <v>3131</v>
      </c>
      <c r="D88" s="12" t="s">
        <v>3111</v>
      </c>
      <c r="E88" s="12" t="s">
        <v>524</v>
      </c>
      <c r="F88" s="12" t="s">
        <v>4267</v>
      </c>
      <c r="G88" s="25">
        <v>0</v>
      </c>
      <c r="H88" s="25">
        <v>0</v>
      </c>
      <c r="I88" s="25">
        <v>0</v>
      </c>
      <c r="J88" s="25">
        <v>0</v>
      </c>
      <c r="K88" s="25">
        <v>0</v>
      </c>
      <c r="L88" s="25">
        <v>0</v>
      </c>
      <c r="M88" s="25">
        <v>0</v>
      </c>
      <c r="N88" s="31">
        <v>0</v>
      </c>
      <c r="O88" s="25">
        <v>0</v>
      </c>
      <c r="P88" s="25">
        <v>0</v>
      </c>
      <c r="Q88" s="25">
        <v>0</v>
      </c>
      <c r="R88" s="25">
        <v>0</v>
      </c>
      <c r="S88" s="25">
        <v>0</v>
      </c>
      <c r="T88" s="25">
        <v>0</v>
      </c>
      <c r="U88" s="61">
        <v>0</v>
      </c>
      <c r="V88" s="59"/>
      <c r="W88" s="12" t="s">
        <v>3926</v>
      </c>
      <c r="X88" s="12" t="s">
        <v>3926</v>
      </c>
      <c r="Y88" s="12" t="s">
        <v>3926</v>
      </c>
      <c r="Z88" s="12" t="s">
        <v>3926</v>
      </c>
      <c r="AA88" s="12" t="s">
        <v>3926</v>
      </c>
      <c r="AB88" s="25" t="s">
        <v>3927</v>
      </c>
      <c r="AC88" s="25">
        <v>0</v>
      </c>
      <c r="AD88" s="25">
        <v>0</v>
      </c>
      <c r="AE88" s="25">
        <v>0</v>
      </c>
      <c r="AF88" s="25">
        <v>0</v>
      </c>
      <c r="AG88" s="25">
        <v>0</v>
      </c>
      <c r="AH88" s="25">
        <v>0</v>
      </c>
      <c r="AI88" s="12">
        <v>0</v>
      </c>
      <c r="AJ88" s="25">
        <v>53901</v>
      </c>
      <c r="AK88" s="25">
        <v>-653</v>
      </c>
      <c r="AL88" s="33">
        <v>-1.2E-2</v>
      </c>
      <c r="AM88" s="3" t="s">
        <v>3131</v>
      </c>
      <c r="AN88" s="12" t="s">
        <v>524</v>
      </c>
      <c r="AO88" s="12" t="s">
        <v>524</v>
      </c>
      <c r="AP88" s="12" t="str">
        <f>"206612162752737"</f>
        <v>206612162752737</v>
      </c>
      <c r="AQ88" s="12" t="s">
        <v>3111</v>
      </c>
      <c r="AR88" s="12" t="s">
        <v>525</v>
      </c>
      <c r="AS88" s="12" t="s">
        <v>3112</v>
      </c>
      <c r="AT88" s="12"/>
      <c r="AU88" s="12" t="s">
        <v>324</v>
      </c>
      <c r="AV88" s="12" t="s">
        <v>5731</v>
      </c>
      <c r="AW88" s="12">
        <v>2015</v>
      </c>
      <c r="AX88" s="12">
        <v>3</v>
      </c>
      <c r="AY88" s="12">
        <v>54</v>
      </c>
      <c r="AZ88" s="12">
        <v>3</v>
      </c>
      <c r="BA88" s="12" t="s">
        <v>526</v>
      </c>
      <c r="BB88" s="12" t="s">
        <v>7034</v>
      </c>
      <c r="BC88" s="12" t="s">
        <v>7035</v>
      </c>
      <c r="BD88" s="12"/>
      <c r="BE88" s="12" t="s">
        <v>2291</v>
      </c>
      <c r="BF88" s="12"/>
      <c r="BG88" s="12"/>
      <c r="BH88" s="12"/>
      <c r="BI88" s="12" t="s">
        <v>3113</v>
      </c>
      <c r="BJ88" s="12" t="s">
        <v>3113</v>
      </c>
      <c r="BK88" s="12" t="s">
        <v>7036</v>
      </c>
      <c r="BL88" s="12" t="s">
        <v>2292</v>
      </c>
      <c r="BM88" s="12" t="s">
        <v>2292</v>
      </c>
      <c r="BN88" s="12" t="s">
        <v>2292</v>
      </c>
      <c r="BO88" s="12" t="s">
        <v>2292</v>
      </c>
      <c r="BP88" s="12" t="s">
        <v>527</v>
      </c>
      <c r="BQ88" s="12"/>
      <c r="BR88" s="12"/>
      <c r="BS88" s="12"/>
      <c r="BT88" s="12"/>
      <c r="BU88" s="12" t="s">
        <v>326</v>
      </c>
      <c r="BV88" s="12"/>
      <c r="BW88" s="12" t="s">
        <v>3247</v>
      </c>
      <c r="BX88" s="12"/>
      <c r="BY88" s="14" t="s">
        <v>528</v>
      </c>
      <c r="BZ88" s="13" t="s">
        <v>6170</v>
      </c>
      <c r="CA88" s="13" t="s">
        <v>6170</v>
      </c>
      <c r="CB88" s="13" t="s">
        <v>312</v>
      </c>
      <c r="CC88" s="13"/>
      <c r="CD88" s="13" t="s">
        <v>6198</v>
      </c>
      <c r="CE88" s="13"/>
      <c r="CF88" s="13"/>
    </row>
    <row r="89" spans="1:84" ht="18.600000000000001" customHeight="1" x14ac:dyDescent="0.25">
      <c r="A89" s="60" t="s">
        <v>26</v>
      </c>
      <c r="B89" s="2" t="s">
        <v>335</v>
      </c>
      <c r="C89" s="3" t="s">
        <v>2765</v>
      </c>
      <c r="D89" s="12" t="s">
        <v>530</v>
      </c>
      <c r="E89" s="12" t="s">
        <v>529</v>
      </c>
      <c r="F89" s="12" t="s">
        <v>4205</v>
      </c>
      <c r="G89" s="25">
        <v>0</v>
      </c>
      <c r="H89" s="25">
        <v>0</v>
      </c>
      <c r="I89" s="25">
        <v>0</v>
      </c>
      <c r="J89" s="25">
        <v>0</v>
      </c>
      <c r="K89" s="25">
        <v>0</v>
      </c>
      <c r="L89" s="25">
        <v>0</v>
      </c>
      <c r="M89" s="25">
        <v>0</v>
      </c>
      <c r="N89" s="31">
        <v>0</v>
      </c>
      <c r="O89" s="25">
        <v>0</v>
      </c>
      <c r="P89" s="25">
        <v>0</v>
      </c>
      <c r="Q89" s="25">
        <v>0</v>
      </c>
      <c r="R89" s="25">
        <v>0</v>
      </c>
      <c r="S89" s="25">
        <v>0</v>
      </c>
      <c r="T89" s="25">
        <v>0</v>
      </c>
      <c r="U89" s="61">
        <v>0</v>
      </c>
      <c r="V89" s="59"/>
      <c r="W89" s="12" t="s">
        <v>3926</v>
      </c>
      <c r="X89" s="12" t="s">
        <v>3926</v>
      </c>
      <c r="Y89" s="12" t="s">
        <v>3926</v>
      </c>
      <c r="Z89" s="12" t="s">
        <v>3926</v>
      </c>
      <c r="AA89" s="12" t="s">
        <v>3926</v>
      </c>
      <c r="AB89" s="25" t="s">
        <v>3927</v>
      </c>
      <c r="AC89" s="25">
        <v>0</v>
      </c>
      <c r="AD89" s="25">
        <v>0</v>
      </c>
      <c r="AE89" s="25">
        <v>0</v>
      </c>
      <c r="AF89" s="25">
        <v>0</v>
      </c>
      <c r="AG89" s="25">
        <v>0</v>
      </c>
      <c r="AH89" s="25">
        <v>0</v>
      </c>
      <c r="AI89" s="12">
        <v>0</v>
      </c>
      <c r="AJ89" s="25">
        <v>62719</v>
      </c>
      <c r="AK89" s="25">
        <v>548</v>
      </c>
      <c r="AL89" s="33">
        <v>8.8000000000000005E-3</v>
      </c>
      <c r="AM89" s="3" t="s">
        <v>2765</v>
      </c>
      <c r="AN89" s="12" t="s">
        <v>529</v>
      </c>
      <c r="AO89" s="12" t="s">
        <v>529</v>
      </c>
      <c r="AP89" s="12" t="str">
        <f>"293178287415102"</f>
        <v>293178287415102</v>
      </c>
      <c r="AQ89" s="12" t="s">
        <v>530</v>
      </c>
      <c r="AR89" s="12" t="s">
        <v>531</v>
      </c>
      <c r="AS89" s="12" t="s">
        <v>532</v>
      </c>
      <c r="AT89" s="12"/>
      <c r="AU89" s="12" t="s">
        <v>324</v>
      </c>
      <c r="AV89" s="12"/>
      <c r="AW89" s="12">
        <v>2012</v>
      </c>
      <c r="AX89" s="12">
        <v>0</v>
      </c>
      <c r="AY89" s="12">
        <v>66</v>
      </c>
      <c r="AZ89" s="12">
        <v>0</v>
      </c>
      <c r="BA89" s="12" t="s">
        <v>533</v>
      </c>
      <c r="BB89" s="12" t="s">
        <v>6923</v>
      </c>
      <c r="BC89" s="12" t="s">
        <v>6924</v>
      </c>
      <c r="BD89" s="12"/>
      <c r="BE89" s="12" t="s">
        <v>2291</v>
      </c>
      <c r="BF89" s="12"/>
      <c r="BG89" s="12"/>
      <c r="BH89" s="12"/>
      <c r="BI89" s="12" t="s">
        <v>2766</v>
      </c>
      <c r="BJ89" s="12" t="s">
        <v>534</v>
      </c>
      <c r="BK89" s="12" t="s">
        <v>6925</v>
      </c>
      <c r="BL89" s="12" t="s">
        <v>2292</v>
      </c>
      <c r="BM89" s="12" t="s">
        <v>2292</v>
      </c>
      <c r="BN89" s="12" t="s">
        <v>2292</v>
      </c>
      <c r="BO89" s="12" t="s">
        <v>2292</v>
      </c>
      <c r="BP89" s="12"/>
      <c r="BQ89" s="12"/>
      <c r="BR89" s="12"/>
      <c r="BS89" s="12"/>
      <c r="BT89" s="12">
        <v>218213403094</v>
      </c>
      <c r="BU89" s="12"/>
      <c r="BV89" s="12"/>
      <c r="BW89" s="12" t="s">
        <v>3260</v>
      </c>
      <c r="BX89" s="12"/>
      <c r="BY89" s="13" t="s">
        <v>3708</v>
      </c>
      <c r="BZ89" s="13" t="s">
        <v>6170</v>
      </c>
      <c r="CA89" s="13" t="s">
        <v>6170</v>
      </c>
      <c r="CB89" s="13" t="s">
        <v>312</v>
      </c>
      <c r="CC89" s="13"/>
      <c r="CD89" s="13" t="s">
        <v>6198</v>
      </c>
      <c r="CE89" s="13"/>
      <c r="CF89" s="13"/>
    </row>
    <row r="90" spans="1:84" ht="18.600000000000001" customHeight="1" x14ac:dyDescent="0.25">
      <c r="A90" s="60" t="s">
        <v>27</v>
      </c>
      <c r="B90" s="2" t="s">
        <v>541</v>
      </c>
      <c r="C90" s="3" t="s">
        <v>2573</v>
      </c>
      <c r="D90" s="12" t="s">
        <v>536</v>
      </c>
      <c r="E90" s="12" t="s">
        <v>535</v>
      </c>
      <c r="F90" s="12" t="s">
        <v>4101</v>
      </c>
      <c r="G90" s="25">
        <v>0</v>
      </c>
      <c r="H90" s="25">
        <v>0</v>
      </c>
      <c r="I90" s="25">
        <v>0</v>
      </c>
      <c r="J90" s="25">
        <v>0</v>
      </c>
      <c r="K90" s="25">
        <v>0</v>
      </c>
      <c r="L90" s="25">
        <v>0</v>
      </c>
      <c r="M90" s="25">
        <v>0</v>
      </c>
      <c r="N90" s="31">
        <v>0</v>
      </c>
      <c r="O90" s="25">
        <v>0</v>
      </c>
      <c r="P90" s="25">
        <v>0</v>
      </c>
      <c r="Q90" s="25">
        <v>0</v>
      </c>
      <c r="R90" s="25">
        <v>0</v>
      </c>
      <c r="S90" s="25">
        <v>0</v>
      </c>
      <c r="T90" s="25">
        <v>0</v>
      </c>
      <c r="U90" s="61">
        <v>0</v>
      </c>
      <c r="V90" s="59"/>
      <c r="W90" s="12" t="s">
        <v>3926</v>
      </c>
      <c r="X90" s="12" t="s">
        <v>3926</v>
      </c>
      <c r="Y90" s="12" t="s">
        <v>3926</v>
      </c>
      <c r="Z90" s="12" t="s">
        <v>3926</v>
      </c>
      <c r="AA90" s="12" t="s">
        <v>3926</v>
      </c>
      <c r="AB90" s="25" t="s">
        <v>3927</v>
      </c>
      <c r="AC90" s="25">
        <v>0</v>
      </c>
      <c r="AD90" s="25">
        <v>0</v>
      </c>
      <c r="AE90" s="25">
        <v>0</v>
      </c>
      <c r="AF90" s="25">
        <v>0</v>
      </c>
      <c r="AG90" s="25">
        <v>0</v>
      </c>
      <c r="AH90" s="25">
        <v>0</v>
      </c>
      <c r="AI90" s="12">
        <v>0</v>
      </c>
      <c r="AJ90" s="25">
        <v>45983</v>
      </c>
      <c r="AK90" s="25">
        <v>3938</v>
      </c>
      <c r="AL90" s="33">
        <v>9.3700000000000006E-2</v>
      </c>
      <c r="AM90" s="3" t="s">
        <v>2573</v>
      </c>
      <c r="AN90" s="12" t="s">
        <v>535</v>
      </c>
      <c r="AO90" s="12" t="s">
        <v>535</v>
      </c>
      <c r="AP90" s="12" t="str">
        <f>"458002890974368"</f>
        <v>458002890974368</v>
      </c>
      <c r="AQ90" s="12" t="s">
        <v>536</v>
      </c>
      <c r="AR90" s="12" t="s">
        <v>537</v>
      </c>
      <c r="AS90" s="12" t="s">
        <v>538</v>
      </c>
      <c r="AT90" s="12"/>
      <c r="AU90" s="12" t="s">
        <v>319</v>
      </c>
      <c r="AV90" s="12"/>
      <c r="AW90" s="12"/>
      <c r="AX90" s="12">
        <v>0</v>
      </c>
      <c r="AY90" s="12">
        <v>140</v>
      </c>
      <c r="AZ90" s="12">
        <v>0</v>
      </c>
      <c r="BA90" s="12" t="s">
        <v>253</v>
      </c>
      <c r="BB90" s="12" t="s">
        <v>5840</v>
      </c>
      <c r="BC90" s="12" t="s">
        <v>6651</v>
      </c>
      <c r="BD90" s="12"/>
      <c r="BE90" s="12" t="s">
        <v>2291</v>
      </c>
      <c r="BF90" s="12"/>
      <c r="BG90" s="12"/>
      <c r="BH90" s="12"/>
      <c r="BI90" s="12"/>
      <c r="BJ90" s="12"/>
      <c r="BK90" s="12"/>
      <c r="BL90" s="12" t="s">
        <v>2292</v>
      </c>
      <c r="BM90" s="12" t="s">
        <v>2292</v>
      </c>
      <c r="BN90" s="12" t="s">
        <v>2292</v>
      </c>
      <c r="BO90" s="12" t="s">
        <v>2292</v>
      </c>
      <c r="BP90" s="12"/>
      <c r="BQ90" s="12"/>
      <c r="BR90" s="12"/>
      <c r="BS90" s="12"/>
      <c r="BT90" s="12"/>
      <c r="BU90" s="12"/>
      <c r="BV90" s="12"/>
      <c r="BW90" s="12" t="s">
        <v>539</v>
      </c>
      <c r="BX90" s="12"/>
      <c r="BY90" s="13" t="s">
        <v>540</v>
      </c>
      <c r="BZ90" s="13" t="s">
        <v>6170</v>
      </c>
      <c r="CA90" s="13" t="s">
        <v>6170</v>
      </c>
      <c r="CB90" s="13" t="s">
        <v>312</v>
      </c>
      <c r="CC90" s="13"/>
      <c r="CD90" s="13" t="s">
        <v>6198</v>
      </c>
      <c r="CE90" s="13"/>
      <c r="CF90" s="13"/>
    </row>
    <row r="91" spans="1:84" ht="18.600000000000001" customHeight="1" x14ac:dyDescent="0.25">
      <c r="A91" s="60" t="s">
        <v>27</v>
      </c>
      <c r="B91" s="2" t="s">
        <v>314</v>
      </c>
      <c r="C91" s="3" t="s">
        <v>2402</v>
      </c>
      <c r="D91" s="12" t="s">
        <v>543</v>
      </c>
      <c r="E91" s="12" t="s">
        <v>542</v>
      </c>
      <c r="F91" s="12" t="s">
        <v>3993</v>
      </c>
      <c r="G91" s="25">
        <v>204254</v>
      </c>
      <c r="H91" s="25">
        <v>142303</v>
      </c>
      <c r="I91" s="25">
        <v>18318</v>
      </c>
      <c r="J91" s="25">
        <v>29643</v>
      </c>
      <c r="K91" s="25">
        <v>341992</v>
      </c>
      <c r="L91" s="25">
        <v>250684</v>
      </c>
      <c r="M91" s="25">
        <v>592676</v>
      </c>
      <c r="N91" s="31">
        <v>0.57999999999999996</v>
      </c>
      <c r="O91" s="25">
        <v>42624</v>
      </c>
      <c r="P91" s="25">
        <v>0</v>
      </c>
      <c r="Q91" s="25">
        <v>3364</v>
      </c>
      <c r="R91" s="25">
        <v>1029</v>
      </c>
      <c r="S91" s="25">
        <v>4153</v>
      </c>
      <c r="T91" s="25">
        <v>3847</v>
      </c>
      <c r="U91" s="61">
        <v>1590</v>
      </c>
      <c r="V91" s="58">
        <v>5.1000000000000004E-3</v>
      </c>
      <c r="W91" s="33">
        <v>6.1999999999999998E-3</v>
      </c>
      <c r="X91" s="33">
        <v>2E-3</v>
      </c>
      <c r="Y91" s="33">
        <v>3.5000000000000001E-3</v>
      </c>
      <c r="Z91" s="33">
        <v>3.8999999999999998E-3</v>
      </c>
      <c r="AA91" s="33">
        <v>1.6000000000000001E-3</v>
      </c>
      <c r="AB91" s="25">
        <v>883</v>
      </c>
      <c r="AC91" s="25">
        <v>612</v>
      </c>
      <c r="AD91" s="25">
        <v>17</v>
      </c>
      <c r="AE91" s="25">
        <v>7</v>
      </c>
      <c r="AF91" s="25">
        <v>173</v>
      </c>
      <c r="AG91" s="25">
        <v>53</v>
      </c>
      <c r="AH91" s="25">
        <v>21</v>
      </c>
      <c r="AI91" s="12">
        <v>2.0099999999999998</v>
      </c>
      <c r="AJ91" s="25">
        <v>55213</v>
      </c>
      <c r="AK91" s="25">
        <v>22646</v>
      </c>
      <c r="AL91" s="33">
        <v>0.69540000000000002</v>
      </c>
      <c r="AM91" s="3" t="s">
        <v>2402</v>
      </c>
      <c r="AN91" s="12" t="s">
        <v>542</v>
      </c>
      <c r="AO91" s="12" t="s">
        <v>542</v>
      </c>
      <c r="AP91" s="12" t="str">
        <f>"616973818381805"</f>
        <v>616973818381805</v>
      </c>
      <c r="AQ91" s="12" t="s">
        <v>543</v>
      </c>
      <c r="AR91" s="12" t="s">
        <v>544</v>
      </c>
      <c r="AS91" s="12" t="s">
        <v>5565</v>
      </c>
      <c r="AT91" s="12"/>
      <c r="AU91" s="12" t="s">
        <v>324</v>
      </c>
      <c r="AV91" s="12"/>
      <c r="AW91" s="12"/>
      <c r="AX91" s="12">
        <v>0</v>
      </c>
      <c r="AY91" s="12">
        <v>7736</v>
      </c>
      <c r="AZ91" s="12">
        <v>0</v>
      </c>
      <c r="BA91" s="12" t="s">
        <v>545</v>
      </c>
      <c r="BB91" s="12" t="s">
        <v>6422</v>
      </c>
      <c r="BC91" s="12" t="s">
        <v>6423</v>
      </c>
      <c r="BD91" s="12"/>
      <c r="BE91" s="12" t="s">
        <v>2291</v>
      </c>
      <c r="BF91" s="12"/>
      <c r="BG91" s="12"/>
      <c r="BH91" s="12"/>
      <c r="BI91" s="12"/>
      <c r="BJ91" s="12"/>
      <c r="BK91" s="12"/>
      <c r="BL91" s="12" t="s">
        <v>2292</v>
      </c>
      <c r="BM91" s="12" t="s">
        <v>2292</v>
      </c>
      <c r="BN91" s="12" t="s">
        <v>2292</v>
      </c>
      <c r="BO91" s="12" t="s">
        <v>2292</v>
      </c>
      <c r="BP91" s="12"/>
      <c r="BQ91" s="12"/>
      <c r="BR91" s="12"/>
      <c r="BS91" s="12"/>
      <c r="BT91" s="12"/>
      <c r="BU91" s="12"/>
      <c r="BV91" s="12"/>
      <c r="BW91" s="12" t="s">
        <v>546</v>
      </c>
      <c r="BX91" s="12"/>
      <c r="BY91" s="13" t="s">
        <v>313</v>
      </c>
      <c r="BZ91" s="13" t="s">
        <v>6171</v>
      </c>
      <c r="CA91" s="13" t="s">
        <v>6170</v>
      </c>
      <c r="CB91" s="13" t="s">
        <v>6200</v>
      </c>
      <c r="CC91" s="13"/>
      <c r="CD91" s="13" t="s">
        <v>6198</v>
      </c>
      <c r="CE91" s="13"/>
      <c r="CF91" s="13"/>
    </row>
    <row r="92" spans="1:84" ht="18.600000000000001" customHeight="1" x14ac:dyDescent="0.25">
      <c r="A92" s="60" t="s">
        <v>27</v>
      </c>
      <c r="B92" s="2" t="s">
        <v>314</v>
      </c>
      <c r="C92" s="3" t="s">
        <v>5074</v>
      </c>
      <c r="D92" s="12" t="s">
        <v>5120</v>
      </c>
      <c r="E92" s="12" t="s">
        <v>5121</v>
      </c>
      <c r="F92" s="12" t="s">
        <v>5122</v>
      </c>
      <c r="G92" s="25">
        <v>125116</v>
      </c>
      <c r="H92" s="25">
        <v>87887</v>
      </c>
      <c r="I92" s="25">
        <v>16772</v>
      </c>
      <c r="J92" s="25">
        <v>8682</v>
      </c>
      <c r="K92" s="25">
        <v>1498205</v>
      </c>
      <c r="L92" s="25">
        <v>244141</v>
      </c>
      <c r="M92" s="25">
        <v>1742346</v>
      </c>
      <c r="N92" s="31">
        <v>0.86</v>
      </c>
      <c r="O92" s="25">
        <v>6081</v>
      </c>
      <c r="P92" s="25">
        <v>0</v>
      </c>
      <c r="Q92" s="25">
        <v>1232</v>
      </c>
      <c r="R92" s="25">
        <v>326</v>
      </c>
      <c r="S92" s="25">
        <v>4749</v>
      </c>
      <c r="T92" s="25">
        <v>367</v>
      </c>
      <c r="U92" s="61">
        <v>5099</v>
      </c>
      <c r="V92" s="58">
        <v>3.5400000000000001E-2</v>
      </c>
      <c r="W92" s="33">
        <v>2.47E-2</v>
      </c>
      <c r="X92" s="33">
        <v>0</v>
      </c>
      <c r="Y92" s="33">
        <v>0</v>
      </c>
      <c r="Z92" s="33">
        <v>2.7699999999999999E-2</v>
      </c>
      <c r="AA92" s="33">
        <v>8.5400000000000004E-2</v>
      </c>
      <c r="AB92" s="25">
        <v>147</v>
      </c>
      <c r="AC92" s="25">
        <v>79</v>
      </c>
      <c r="AD92" s="25">
        <v>1</v>
      </c>
      <c r="AE92" s="25">
        <v>4</v>
      </c>
      <c r="AF92" s="25">
        <v>53</v>
      </c>
      <c r="AG92" s="25">
        <v>5</v>
      </c>
      <c r="AH92" s="25">
        <v>5</v>
      </c>
      <c r="AI92" s="12">
        <v>0.33</v>
      </c>
      <c r="AJ92" s="25">
        <v>27343</v>
      </c>
      <c r="AK92" s="25">
        <v>0</v>
      </c>
      <c r="AL92" s="31">
        <v>0</v>
      </c>
      <c r="AM92" s="3" t="s">
        <v>5074</v>
      </c>
      <c r="AN92" s="12" t="s">
        <v>5121</v>
      </c>
      <c r="AO92" s="12" t="s">
        <v>5121</v>
      </c>
      <c r="AP92" s="12" t="str">
        <f>"1327823103953007"</f>
        <v>1327823103953007</v>
      </c>
      <c r="AQ92" s="12" t="s">
        <v>5120</v>
      </c>
      <c r="AR92" s="12" t="s">
        <v>5349</v>
      </c>
      <c r="AS92" s="12" t="s">
        <v>5350</v>
      </c>
      <c r="AT92" s="12"/>
      <c r="AU92" s="12" t="s">
        <v>5351</v>
      </c>
      <c r="AV92" s="12"/>
      <c r="AW92" s="12"/>
      <c r="AX92" s="12">
        <v>0</v>
      </c>
      <c r="AY92" s="12">
        <v>5818</v>
      </c>
      <c r="AZ92" s="12">
        <v>0</v>
      </c>
      <c r="BA92" s="12" t="s">
        <v>5352</v>
      </c>
      <c r="BB92" s="12"/>
      <c r="BC92" s="12" t="s">
        <v>6764</v>
      </c>
      <c r="BD92" s="12"/>
      <c r="BE92" s="12" t="s">
        <v>2291</v>
      </c>
      <c r="BF92" s="12"/>
      <c r="BG92" s="12"/>
      <c r="BH92" s="12"/>
      <c r="BI92" s="12" t="s">
        <v>5353</v>
      </c>
      <c r="BJ92" s="12"/>
      <c r="BK92" s="12"/>
      <c r="BL92" s="12" t="s">
        <v>2292</v>
      </c>
      <c r="BM92" s="12" t="s">
        <v>2292</v>
      </c>
      <c r="BN92" s="12" t="s">
        <v>2292</v>
      </c>
      <c r="BO92" s="12" t="s">
        <v>2292</v>
      </c>
      <c r="BP92" s="12"/>
      <c r="BQ92" s="12"/>
      <c r="BR92" s="12"/>
      <c r="BS92" s="12"/>
      <c r="BT92" s="12"/>
      <c r="BU92" s="12"/>
      <c r="BV92" s="12"/>
      <c r="BW92" s="12"/>
      <c r="BX92" s="12"/>
      <c r="BY92" s="13" t="s">
        <v>313</v>
      </c>
      <c r="BZ92" s="13" t="s">
        <v>6173</v>
      </c>
      <c r="CA92" s="13"/>
      <c r="CB92" s="13"/>
      <c r="CC92" s="13"/>
      <c r="CD92" s="13"/>
      <c r="CE92" s="13"/>
      <c r="CF92" s="13"/>
    </row>
    <row r="93" spans="1:84" ht="18.600000000000001" customHeight="1" x14ac:dyDescent="0.25">
      <c r="A93" s="60" t="s">
        <v>27</v>
      </c>
      <c r="B93" s="2" t="s">
        <v>315</v>
      </c>
      <c r="C93" s="4" t="s">
        <v>3887</v>
      </c>
      <c r="D93" s="12" t="s">
        <v>3462</v>
      </c>
      <c r="E93" s="12"/>
      <c r="F93" s="12" t="s">
        <v>4482</v>
      </c>
      <c r="G93" s="25">
        <v>16332</v>
      </c>
      <c r="H93" s="25">
        <v>11361</v>
      </c>
      <c r="I93" s="25">
        <v>1039</v>
      </c>
      <c r="J93" s="25">
        <v>3296</v>
      </c>
      <c r="K93" s="25">
        <v>697</v>
      </c>
      <c r="L93" s="25">
        <v>231</v>
      </c>
      <c r="M93" s="25">
        <v>928</v>
      </c>
      <c r="N93" s="31">
        <v>0.75</v>
      </c>
      <c r="O93" s="25">
        <v>381</v>
      </c>
      <c r="P93" s="25">
        <v>0</v>
      </c>
      <c r="Q93" s="25">
        <v>118</v>
      </c>
      <c r="R93" s="25">
        <v>60</v>
      </c>
      <c r="S93" s="25">
        <v>121</v>
      </c>
      <c r="T93" s="25">
        <v>267</v>
      </c>
      <c r="U93" s="61">
        <v>70</v>
      </c>
      <c r="V93" s="58">
        <v>7.4000000000000003E-3</v>
      </c>
      <c r="W93" s="33">
        <v>7.1000000000000004E-3</v>
      </c>
      <c r="X93" s="33">
        <v>2.7000000000000001E-3</v>
      </c>
      <c r="Y93" s="33">
        <v>1.29E-2</v>
      </c>
      <c r="Z93" s="33">
        <v>2.7000000000000001E-3</v>
      </c>
      <c r="AA93" s="33">
        <v>2.2000000000000001E-3</v>
      </c>
      <c r="AB93" s="25">
        <v>239</v>
      </c>
      <c r="AC93" s="25">
        <v>217</v>
      </c>
      <c r="AD93" s="25">
        <v>9</v>
      </c>
      <c r="AE93" s="25">
        <v>7</v>
      </c>
      <c r="AF93" s="25">
        <v>2</v>
      </c>
      <c r="AG93" s="25">
        <v>2</v>
      </c>
      <c r="AH93" s="25">
        <v>2</v>
      </c>
      <c r="AI93" s="12">
        <v>0.54</v>
      </c>
      <c r="AJ93" s="25">
        <v>12561</v>
      </c>
      <c r="AK93" s="25">
        <v>5463</v>
      </c>
      <c r="AL93" s="33">
        <v>0.76970000000000005</v>
      </c>
      <c r="AM93" s="4" t="s">
        <v>3887</v>
      </c>
      <c r="AN93" s="12" t="s">
        <v>5435</v>
      </c>
      <c r="AO93" s="12"/>
      <c r="AP93" s="12" t="str">
        <f>"727643947321702"</f>
        <v>727643947321702</v>
      </c>
      <c r="AQ93" s="12" t="s">
        <v>3462</v>
      </c>
      <c r="AR93" s="12" t="s">
        <v>3463</v>
      </c>
      <c r="AS93" s="12" t="s">
        <v>3464</v>
      </c>
      <c r="AT93" s="12"/>
      <c r="AU93" s="12" t="s">
        <v>324</v>
      </c>
      <c r="AV93" s="12"/>
      <c r="AW93" s="12"/>
      <c r="AX93" s="12">
        <v>0</v>
      </c>
      <c r="AY93" s="12">
        <v>391</v>
      </c>
      <c r="AZ93" s="12">
        <v>0</v>
      </c>
      <c r="BA93" s="12" t="s">
        <v>3465</v>
      </c>
      <c r="BB93" s="12" t="s">
        <v>7154</v>
      </c>
      <c r="BC93" s="12" t="s">
        <v>7155</v>
      </c>
      <c r="BD93" s="12"/>
      <c r="BE93" s="12" t="s">
        <v>2291</v>
      </c>
      <c r="BF93" s="12"/>
      <c r="BG93" s="12"/>
      <c r="BH93" s="12"/>
      <c r="BI93" s="12"/>
      <c r="BJ93" s="12"/>
      <c r="BK93" s="12"/>
      <c r="BL93" s="12" t="s">
        <v>2292</v>
      </c>
      <c r="BM93" s="12" t="s">
        <v>2292</v>
      </c>
      <c r="BN93" s="12" t="s">
        <v>2292</v>
      </c>
      <c r="BO93" s="12" t="s">
        <v>2292</v>
      </c>
      <c r="BP93" s="12"/>
      <c r="BQ93" s="12"/>
      <c r="BR93" s="12"/>
      <c r="BS93" s="12"/>
      <c r="BT93" s="12" t="s">
        <v>3466</v>
      </c>
      <c r="BU93" s="12"/>
      <c r="BV93" s="12"/>
      <c r="BW93" s="12" t="s">
        <v>3467</v>
      </c>
      <c r="BX93" s="12"/>
      <c r="BY93" s="13" t="s">
        <v>313</v>
      </c>
      <c r="BZ93" s="13" t="s">
        <v>6170</v>
      </c>
      <c r="CA93" s="13" t="s">
        <v>6170</v>
      </c>
      <c r="CB93" s="13" t="s">
        <v>312</v>
      </c>
      <c r="CC93" s="13"/>
      <c r="CD93" s="13" t="s">
        <v>6198</v>
      </c>
      <c r="CE93" s="13"/>
      <c r="CF93" s="13"/>
    </row>
    <row r="94" spans="1:84" ht="18.600000000000001" customHeight="1" x14ac:dyDescent="0.25">
      <c r="A94" s="60" t="s">
        <v>27</v>
      </c>
      <c r="B94" s="2" t="s">
        <v>335</v>
      </c>
      <c r="C94" s="20" t="s">
        <v>5721</v>
      </c>
      <c r="D94" s="12" t="s">
        <v>5791</v>
      </c>
      <c r="E94" s="12" t="s">
        <v>5790</v>
      </c>
      <c r="F94" s="12" t="s">
        <v>6085</v>
      </c>
      <c r="G94" s="25">
        <v>22144</v>
      </c>
      <c r="H94" s="25">
        <v>18108</v>
      </c>
      <c r="I94" s="25">
        <v>630</v>
      </c>
      <c r="J94" s="25">
        <v>2832</v>
      </c>
      <c r="K94" s="25">
        <v>24630</v>
      </c>
      <c r="L94" s="25">
        <v>14665</v>
      </c>
      <c r="M94" s="25">
        <v>39295</v>
      </c>
      <c r="N94" s="31">
        <v>0.63</v>
      </c>
      <c r="O94" s="25">
        <v>3816</v>
      </c>
      <c r="P94" s="25">
        <v>0</v>
      </c>
      <c r="Q94" s="25">
        <v>330</v>
      </c>
      <c r="R94" s="25">
        <v>62</v>
      </c>
      <c r="S94" s="25">
        <v>71</v>
      </c>
      <c r="T94" s="25">
        <v>49</v>
      </c>
      <c r="U94" s="61">
        <v>62</v>
      </c>
      <c r="V94" s="58">
        <v>6.1000000000000004E-3</v>
      </c>
      <c r="W94" s="33">
        <v>7.3000000000000001E-3</v>
      </c>
      <c r="X94" s="33">
        <v>2.5999999999999999E-3</v>
      </c>
      <c r="Y94" s="33">
        <v>3.3999999999999998E-3</v>
      </c>
      <c r="Z94" s="33">
        <v>4.1999999999999997E-3</v>
      </c>
      <c r="AA94" s="33">
        <v>3.3999999999999998E-3</v>
      </c>
      <c r="AB94" s="25">
        <v>434</v>
      </c>
      <c r="AC94" s="25">
        <v>281</v>
      </c>
      <c r="AD94" s="25">
        <v>29</v>
      </c>
      <c r="AE94" s="25">
        <v>22</v>
      </c>
      <c r="AF94" s="25">
        <v>81</v>
      </c>
      <c r="AG94" s="25">
        <v>16</v>
      </c>
      <c r="AH94" s="25">
        <v>5</v>
      </c>
      <c r="AI94" s="12">
        <v>0.99</v>
      </c>
      <c r="AJ94" s="25">
        <v>8841</v>
      </c>
      <c r="AK94" s="25">
        <v>0</v>
      </c>
      <c r="AL94" s="31">
        <v>0</v>
      </c>
      <c r="AM94" s="20" t="s">
        <v>5721</v>
      </c>
      <c r="AN94" s="12" t="s">
        <v>5790</v>
      </c>
      <c r="AO94" s="12" t="s">
        <v>5790</v>
      </c>
      <c r="AP94" s="12" t="str">
        <f>"1525028901158013"</f>
        <v>1525028901158013</v>
      </c>
      <c r="AQ94" s="12" t="s">
        <v>5791</v>
      </c>
      <c r="AR94" s="12" t="s">
        <v>5792</v>
      </c>
      <c r="AS94" s="12" t="s">
        <v>5793</v>
      </c>
      <c r="AT94" s="12"/>
      <c r="AU94" s="12" t="s">
        <v>324</v>
      </c>
      <c r="AV94" s="12" t="s">
        <v>5911</v>
      </c>
      <c r="AW94" s="12"/>
      <c r="AX94" s="12">
        <v>1002</v>
      </c>
      <c r="AY94" s="12">
        <v>2288</v>
      </c>
      <c r="AZ94" s="12">
        <v>1002</v>
      </c>
      <c r="BA94" s="12" t="s">
        <v>5794</v>
      </c>
      <c r="BB94" s="12" t="s">
        <v>6455</v>
      </c>
      <c r="BC94" s="12" t="s">
        <v>6456</v>
      </c>
      <c r="BD94" s="12"/>
      <c r="BE94" s="12" t="s">
        <v>2291</v>
      </c>
      <c r="BF94" s="12"/>
      <c r="BG94" s="12"/>
      <c r="BH94" s="12"/>
      <c r="BI94" s="12"/>
      <c r="BJ94" s="12"/>
      <c r="BK94" s="12"/>
      <c r="BL94" s="12" t="s">
        <v>2292</v>
      </c>
      <c r="BM94" s="12" t="s">
        <v>2292</v>
      </c>
      <c r="BN94" s="12" t="s">
        <v>2292</v>
      </c>
      <c r="BO94" s="12" t="s">
        <v>2292</v>
      </c>
      <c r="BP94" s="12"/>
      <c r="BQ94" s="12"/>
      <c r="BR94" s="12"/>
      <c r="BS94" s="12"/>
      <c r="BT94" s="12" t="s">
        <v>5795</v>
      </c>
      <c r="BU94" s="12" t="s">
        <v>326</v>
      </c>
      <c r="BV94" s="12"/>
      <c r="BW94" s="12" t="s">
        <v>5796</v>
      </c>
      <c r="BX94" s="12"/>
      <c r="BY94" s="13" t="s">
        <v>313</v>
      </c>
      <c r="BZ94" s="13" t="s">
        <v>312</v>
      </c>
      <c r="CA94" s="13"/>
      <c r="CB94" s="13"/>
      <c r="CC94" s="13"/>
      <c r="CD94" s="13"/>
      <c r="CE94" s="13"/>
      <c r="CF94" s="13"/>
    </row>
    <row r="95" spans="1:84" ht="18.600000000000001" customHeight="1" x14ac:dyDescent="0.25">
      <c r="A95" s="60" t="s">
        <v>28</v>
      </c>
      <c r="B95" s="2" t="s">
        <v>553</v>
      </c>
      <c r="C95" s="3" t="s">
        <v>2315</v>
      </c>
      <c r="D95" s="12" t="s">
        <v>547</v>
      </c>
      <c r="E95" s="12" t="s">
        <v>29</v>
      </c>
      <c r="F95" s="12" t="s">
        <v>3953</v>
      </c>
      <c r="G95" s="25">
        <v>8644</v>
      </c>
      <c r="H95" s="25">
        <v>6383</v>
      </c>
      <c r="I95" s="25">
        <v>1891</v>
      </c>
      <c r="J95" s="25">
        <v>231</v>
      </c>
      <c r="K95" s="25">
        <v>0</v>
      </c>
      <c r="L95" s="25">
        <v>0</v>
      </c>
      <c r="M95" s="25">
        <v>0</v>
      </c>
      <c r="N95" s="31">
        <v>0</v>
      </c>
      <c r="O95" s="25">
        <v>0</v>
      </c>
      <c r="P95" s="25">
        <v>0</v>
      </c>
      <c r="Q95" s="25">
        <v>97</v>
      </c>
      <c r="R95" s="25">
        <v>21</v>
      </c>
      <c r="S95" s="25">
        <v>6</v>
      </c>
      <c r="T95" s="25">
        <v>10</v>
      </c>
      <c r="U95" s="61">
        <v>5</v>
      </c>
      <c r="V95" s="58">
        <v>2.8E-3</v>
      </c>
      <c r="W95" s="33">
        <v>2.8E-3</v>
      </c>
      <c r="X95" s="33">
        <v>6.9999999999999999E-4</v>
      </c>
      <c r="Y95" s="33">
        <v>4.8999999999999998E-3</v>
      </c>
      <c r="Z95" s="12" t="s">
        <v>3926</v>
      </c>
      <c r="AA95" s="12" t="s">
        <v>3926</v>
      </c>
      <c r="AB95" s="25">
        <v>52</v>
      </c>
      <c r="AC95" s="25">
        <v>49</v>
      </c>
      <c r="AD95" s="25">
        <v>1</v>
      </c>
      <c r="AE95" s="25">
        <v>2</v>
      </c>
      <c r="AF95" s="25">
        <v>0</v>
      </c>
      <c r="AG95" s="25">
        <v>0</v>
      </c>
      <c r="AH95" s="25">
        <v>0</v>
      </c>
      <c r="AI95" s="12">
        <v>0.12</v>
      </c>
      <c r="AJ95" s="25">
        <v>60161</v>
      </c>
      <c r="AK95" s="25">
        <v>2140</v>
      </c>
      <c r="AL95" s="33">
        <v>3.6900000000000002E-2</v>
      </c>
      <c r="AM95" s="3" t="s">
        <v>2315</v>
      </c>
      <c r="AN95" s="12" t="s">
        <v>29</v>
      </c>
      <c r="AO95" s="12" t="s">
        <v>29</v>
      </c>
      <c r="AP95" s="12" t="str">
        <f>"654071824617365"</f>
        <v>654071824617365</v>
      </c>
      <c r="AQ95" s="12" t="s">
        <v>547</v>
      </c>
      <c r="AR95" s="12" t="s">
        <v>3275</v>
      </c>
      <c r="AS95" s="12" t="s">
        <v>548</v>
      </c>
      <c r="AT95" s="12" t="s">
        <v>2316</v>
      </c>
      <c r="AU95" s="12" t="s">
        <v>309</v>
      </c>
      <c r="AV95" s="12"/>
      <c r="AW95" s="12"/>
      <c r="AX95" s="12">
        <v>0</v>
      </c>
      <c r="AY95" s="12">
        <v>49</v>
      </c>
      <c r="AZ95" s="12">
        <v>0</v>
      </c>
      <c r="BA95" s="12" t="s">
        <v>549</v>
      </c>
      <c r="BB95" s="12" t="s">
        <v>6311</v>
      </c>
      <c r="BC95" s="12" t="s">
        <v>6312</v>
      </c>
      <c r="BD95" s="12" t="s">
        <v>550</v>
      </c>
      <c r="BE95" s="12" t="s">
        <v>2291</v>
      </c>
      <c r="BF95" s="12"/>
      <c r="BG95" s="12"/>
      <c r="BH95" s="12"/>
      <c r="BI95" s="12"/>
      <c r="BJ95" s="12"/>
      <c r="BK95" s="12"/>
      <c r="BL95" s="12" t="s">
        <v>2292</v>
      </c>
      <c r="BM95" s="12" t="s">
        <v>2292</v>
      </c>
      <c r="BN95" s="12" t="s">
        <v>2292</v>
      </c>
      <c r="BO95" s="12" t="s">
        <v>2292</v>
      </c>
      <c r="BP95" s="12"/>
      <c r="BQ95" s="12"/>
      <c r="BR95" s="12" t="s">
        <v>2317</v>
      </c>
      <c r="BS95" s="12" t="s">
        <v>551</v>
      </c>
      <c r="BT95" s="12"/>
      <c r="BU95" s="12"/>
      <c r="BV95" s="12"/>
      <c r="BW95" s="12" t="s">
        <v>552</v>
      </c>
      <c r="BX95" s="12"/>
      <c r="BY95" s="13" t="s">
        <v>313</v>
      </c>
      <c r="BZ95" s="13" t="s">
        <v>6170</v>
      </c>
      <c r="CA95" s="13" t="s">
        <v>6170</v>
      </c>
      <c r="CB95" s="13" t="s">
        <v>312</v>
      </c>
      <c r="CC95" s="13"/>
      <c r="CD95" s="13" t="s">
        <v>6198</v>
      </c>
      <c r="CE95" s="13"/>
      <c r="CF95" s="13"/>
    </row>
    <row r="96" spans="1:84" ht="18.600000000000001" customHeight="1" x14ac:dyDescent="0.25">
      <c r="A96" s="60" t="s">
        <v>28</v>
      </c>
      <c r="B96" s="2" t="s">
        <v>314</v>
      </c>
      <c r="C96" s="3" t="s">
        <v>3165</v>
      </c>
      <c r="D96" s="12" t="s">
        <v>3284</v>
      </c>
      <c r="E96" s="12" t="s">
        <v>3283</v>
      </c>
      <c r="F96" s="12" t="s">
        <v>4368</v>
      </c>
      <c r="G96" s="25">
        <v>3663</v>
      </c>
      <c r="H96" s="25">
        <v>2848</v>
      </c>
      <c r="I96" s="25">
        <v>549</v>
      </c>
      <c r="J96" s="25">
        <v>202</v>
      </c>
      <c r="K96" s="25">
        <v>0</v>
      </c>
      <c r="L96" s="25">
        <v>0</v>
      </c>
      <c r="M96" s="25">
        <v>0</v>
      </c>
      <c r="N96" s="31">
        <v>0</v>
      </c>
      <c r="O96" s="25">
        <v>0</v>
      </c>
      <c r="P96" s="25">
        <v>0</v>
      </c>
      <c r="Q96" s="25">
        <v>53</v>
      </c>
      <c r="R96" s="25">
        <v>4</v>
      </c>
      <c r="S96" s="25">
        <v>1</v>
      </c>
      <c r="T96" s="25">
        <v>5</v>
      </c>
      <c r="U96" s="61">
        <v>1</v>
      </c>
      <c r="V96" s="58">
        <v>8.0000000000000004E-4</v>
      </c>
      <c r="W96" s="33">
        <v>8.0000000000000004E-4</v>
      </c>
      <c r="X96" s="33">
        <v>2.0000000000000001E-4</v>
      </c>
      <c r="Y96" s="33">
        <v>6.9999999999999999E-4</v>
      </c>
      <c r="Z96" s="12" t="s">
        <v>3926</v>
      </c>
      <c r="AA96" s="12" t="s">
        <v>3926</v>
      </c>
      <c r="AB96" s="25">
        <v>189</v>
      </c>
      <c r="AC96" s="25">
        <v>164</v>
      </c>
      <c r="AD96" s="25">
        <v>2</v>
      </c>
      <c r="AE96" s="25">
        <v>23</v>
      </c>
      <c r="AF96" s="25">
        <v>0</v>
      </c>
      <c r="AG96" s="25">
        <v>0</v>
      </c>
      <c r="AH96" s="25">
        <v>0</v>
      </c>
      <c r="AI96" s="12">
        <v>0.43</v>
      </c>
      <c r="AJ96" s="25">
        <v>24558</v>
      </c>
      <c r="AK96" s="25">
        <v>1907</v>
      </c>
      <c r="AL96" s="33">
        <v>8.4199999999999997E-2</v>
      </c>
      <c r="AM96" s="3" t="s">
        <v>3165</v>
      </c>
      <c r="AN96" s="12" t="s">
        <v>3283</v>
      </c>
      <c r="AO96" s="12" t="s">
        <v>3283</v>
      </c>
      <c r="AP96" s="12" t="str">
        <f>"791860124170327"</f>
        <v>791860124170327</v>
      </c>
      <c r="AQ96" s="12" t="s">
        <v>3284</v>
      </c>
      <c r="AR96" s="12" t="s">
        <v>5606</v>
      </c>
      <c r="AS96" s="12" t="s">
        <v>3285</v>
      </c>
      <c r="AT96" s="12"/>
      <c r="AU96" s="12" t="s">
        <v>6029</v>
      </c>
      <c r="AV96" s="12" t="s">
        <v>6030</v>
      </c>
      <c r="AW96" s="12"/>
      <c r="AX96" s="12">
        <v>10478</v>
      </c>
      <c r="AY96" s="12">
        <v>88</v>
      </c>
      <c r="AZ96" s="12">
        <v>10478</v>
      </c>
      <c r="BA96" s="12" t="s">
        <v>3286</v>
      </c>
      <c r="BB96" s="12" t="s">
        <v>7262</v>
      </c>
      <c r="BC96" s="12" t="s">
        <v>7263</v>
      </c>
      <c r="BD96" s="12"/>
      <c r="BE96" s="12" t="s">
        <v>2291</v>
      </c>
      <c r="BF96" s="12"/>
      <c r="BG96" s="12"/>
      <c r="BH96" s="12"/>
      <c r="BI96" s="12"/>
      <c r="BJ96" s="12" t="s">
        <v>3287</v>
      </c>
      <c r="BK96" s="12"/>
      <c r="BL96" s="12" t="s">
        <v>2292</v>
      </c>
      <c r="BM96" s="12" t="s">
        <v>2292</v>
      </c>
      <c r="BN96" s="12" t="s">
        <v>2292</v>
      </c>
      <c r="BO96" s="12" t="s">
        <v>2292</v>
      </c>
      <c r="BP96" s="12"/>
      <c r="BQ96" s="12"/>
      <c r="BR96" s="12"/>
      <c r="BS96" s="12"/>
      <c r="BT96" s="12"/>
      <c r="BU96" s="12" t="s">
        <v>326</v>
      </c>
      <c r="BV96" s="12"/>
      <c r="BW96" s="12" t="s">
        <v>5607</v>
      </c>
      <c r="BX96" s="12"/>
      <c r="BY96" s="13" t="s">
        <v>313</v>
      </c>
      <c r="BZ96" s="13" t="s">
        <v>6170</v>
      </c>
      <c r="CA96" s="13" t="s">
        <v>6170</v>
      </c>
      <c r="CB96" s="13" t="s">
        <v>312</v>
      </c>
      <c r="CC96" s="13"/>
      <c r="CD96" s="13" t="s">
        <v>6198</v>
      </c>
      <c r="CE96" s="13"/>
      <c r="CF96" s="13"/>
    </row>
    <row r="97" spans="1:84" ht="18.600000000000001" customHeight="1" x14ac:dyDescent="0.25">
      <c r="A97" s="60" t="s">
        <v>28</v>
      </c>
      <c r="B97" s="2" t="s">
        <v>315</v>
      </c>
      <c r="C97" s="3" t="s">
        <v>3705</v>
      </c>
      <c r="D97" s="12" t="s">
        <v>3610</v>
      </c>
      <c r="E97" s="12" t="s">
        <v>3609</v>
      </c>
      <c r="F97" s="12" t="s">
        <v>4161</v>
      </c>
      <c r="G97" s="25">
        <v>32390</v>
      </c>
      <c r="H97" s="25">
        <v>17740</v>
      </c>
      <c r="I97" s="25">
        <v>8893</v>
      </c>
      <c r="J97" s="25">
        <v>4026</v>
      </c>
      <c r="K97" s="25">
        <v>0</v>
      </c>
      <c r="L97" s="25">
        <v>0</v>
      </c>
      <c r="M97" s="25">
        <v>0</v>
      </c>
      <c r="N97" s="31">
        <v>0</v>
      </c>
      <c r="O97" s="25">
        <v>918</v>
      </c>
      <c r="P97" s="25">
        <v>0</v>
      </c>
      <c r="Q97" s="25">
        <v>611</v>
      </c>
      <c r="R97" s="25">
        <v>177</v>
      </c>
      <c r="S97" s="25">
        <v>458</v>
      </c>
      <c r="T97" s="25">
        <v>355</v>
      </c>
      <c r="U97" s="61">
        <v>130</v>
      </c>
      <c r="V97" s="58">
        <v>1.6000000000000001E-3</v>
      </c>
      <c r="W97" s="33">
        <v>1.5E-3</v>
      </c>
      <c r="X97" s="33">
        <v>1.6999999999999999E-3</v>
      </c>
      <c r="Y97" s="33">
        <v>1.8E-3</v>
      </c>
      <c r="Z97" s="12" t="s">
        <v>3926</v>
      </c>
      <c r="AA97" s="33">
        <v>7.0000000000000001E-3</v>
      </c>
      <c r="AB97" s="25">
        <v>668</v>
      </c>
      <c r="AC97" s="25">
        <v>433</v>
      </c>
      <c r="AD97" s="25">
        <v>94</v>
      </c>
      <c r="AE97" s="25">
        <v>138</v>
      </c>
      <c r="AF97" s="25">
        <v>0</v>
      </c>
      <c r="AG97" s="25">
        <v>2</v>
      </c>
      <c r="AH97" s="25">
        <v>1</v>
      </c>
      <c r="AI97" s="12">
        <v>1.52</v>
      </c>
      <c r="AJ97" s="25">
        <v>32860</v>
      </c>
      <c r="AK97" s="25">
        <v>6166</v>
      </c>
      <c r="AL97" s="33">
        <v>0.23100000000000001</v>
      </c>
      <c r="AM97" s="3" t="s">
        <v>3705</v>
      </c>
      <c r="AN97" s="12" t="s">
        <v>3609</v>
      </c>
      <c r="AO97" s="12" t="s">
        <v>3609</v>
      </c>
      <c r="AP97" s="12" t="str">
        <f>"195859813933854"</f>
        <v>195859813933854</v>
      </c>
      <c r="AQ97" s="12" t="s">
        <v>3610</v>
      </c>
      <c r="AR97" s="12" t="s">
        <v>4821</v>
      </c>
      <c r="AS97" s="12" t="s">
        <v>3611</v>
      </c>
      <c r="AT97" s="12"/>
      <c r="AU97" s="12" t="s">
        <v>5890</v>
      </c>
      <c r="AV97" s="12"/>
      <c r="AW97" s="12"/>
      <c r="AX97" s="12">
        <v>0</v>
      </c>
      <c r="AY97" s="12">
        <v>476</v>
      </c>
      <c r="AZ97" s="12">
        <v>0</v>
      </c>
      <c r="BA97" s="12" t="s">
        <v>3612</v>
      </c>
      <c r="BB97" s="12" t="s">
        <v>5891</v>
      </c>
      <c r="BC97" s="12" t="s">
        <v>6790</v>
      </c>
      <c r="BD97" s="12"/>
      <c r="BE97" s="12" t="s">
        <v>2291</v>
      </c>
      <c r="BF97" s="12"/>
      <c r="BG97" s="12"/>
      <c r="BH97" s="12"/>
      <c r="BI97" s="12"/>
      <c r="BJ97" s="12"/>
      <c r="BK97" s="12"/>
      <c r="BL97" s="12" t="s">
        <v>2292</v>
      </c>
      <c r="BM97" s="12" t="s">
        <v>2292</v>
      </c>
      <c r="BN97" s="12" t="s">
        <v>2292</v>
      </c>
      <c r="BO97" s="12" t="s">
        <v>2292</v>
      </c>
      <c r="BP97" s="12"/>
      <c r="BQ97" s="12"/>
      <c r="BR97" s="12"/>
      <c r="BS97" s="12"/>
      <c r="BT97" s="12"/>
      <c r="BU97" s="12"/>
      <c r="BV97" s="12"/>
      <c r="BW97" s="12" t="s">
        <v>3177</v>
      </c>
      <c r="BX97" s="12"/>
      <c r="BY97" s="13" t="s">
        <v>313</v>
      </c>
      <c r="BZ97" s="13" t="s">
        <v>6170</v>
      </c>
      <c r="CA97" s="13" t="s">
        <v>6170</v>
      </c>
      <c r="CB97" s="13" t="s">
        <v>6197</v>
      </c>
      <c r="CC97" s="13"/>
      <c r="CD97" s="13" t="s">
        <v>6198</v>
      </c>
      <c r="CE97" s="13"/>
      <c r="CF97" s="13"/>
    </row>
    <row r="98" spans="1:84" ht="18.600000000000001" customHeight="1" x14ac:dyDescent="0.25">
      <c r="A98" s="60" t="s">
        <v>30</v>
      </c>
      <c r="B98" s="2" t="s">
        <v>561</v>
      </c>
      <c r="C98" s="3" t="s">
        <v>2592</v>
      </c>
      <c r="D98" s="12" t="s">
        <v>555</v>
      </c>
      <c r="E98" s="12" t="s">
        <v>554</v>
      </c>
      <c r="F98" s="12" t="s">
        <v>4107</v>
      </c>
      <c r="G98" s="25">
        <v>3723</v>
      </c>
      <c r="H98" s="25">
        <v>2969</v>
      </c>
      <c r="I98" s="25">
        <v>322</v>
      </c>
      <c r="J98" s="25">
        <v>371</v>
      </c>
      <c r="K98" s="25">
        <v>6588</v>
      </c>
      <c r="L98" s="25">
        <v>3949</v>
      </c>
      <c r="M98" s="25">
        <v>10537</v>
      </c>
      <c r="N98" s="31">
        <v>0.63</v>
      </c>
      <c r="O98" s="25">
        <v>0</v>
      </c>
      <c r="P98" s="25">
        <v>0</v>
      </c>
      <c r="Q98" s="25">
        <v>46</v>
      </c>
      <c r="R98" s="25">
        <v>1</v>
      </c>
      <c r="S98" s="25">
        <v>5</v>
      </c>
      <c r="T98" s="25">
        <v>2</v>
      </c>
      <c r="U98" s="61">
        <v>7</v>
      </c>
      <c r="V98" s="58">
        <v>2.5999999999999999E-3</v>
      </c>
      <c r="W98" s="33">
        <v>3.0000000000000001E-3</v>
      </c>
      <c r="X98" s="12" t="s">
        <v>3926</v>
      </c>
      <c r="Y98" s="33">
        <v>1.8E-3</v>
      </c>
      <c r="Z98" s="33">
        <v>2.8E-3</v>
      </c>
      <c r="AA98" s="12" t="s">
        <v>3926</v>
      </c>
      <c r="AB98" s="25">
        <v>12</v>
      </c>
      <c r="AC98" s="25">
        <v>6</v>
      </c>
      <c r="AD98" s="25">
        <v>0</v>
      </c>
      <c r="AE98" s="25">
        <v>4</v>
      </c>
      <c r="AF98" s="25">
        <v>2</v>
      </c>
      <c r="AG98" s="25">
        <v>0</v>
      </c>
      <c r="AH98" s="25">
        <v>0</v>
      </c>
      <c r="AI98" s="12">
        <v>0.03</v>
      </c>
      <c r="AJ98" s="25">
        <v>121046</v>
      </c>
      <c r="AK98" s="25">
        <v>994</v>
      </c>
      <c r="AL98" s="33">
        <v>8.3000000000000001E-3</v>
      </c>
      <c r="AM98" s="3" t="s">
        <v>2592</v>
      </c>
      <c r="AN98" s="12" t="s">
        <v>554</v>
      </c>
      <c r="AO98" s="12" t="s">
        <v>554</v>
      </c>
      <c r="AP98" s="12" t="str">
        <f>"235203420315"</f>
        <v>235203420315</v>
      </c>
      <c r="AQ98" s="12" t="s">
        <v>555</v>
      </c>
      <c r="AR98" s="12" t="s">
        <v>556</v>
      </c>
      <c r="AS98" s="12" t="s">
        <v>557</v>
      </c>
      <c r="AT98" s="12" t="s">
        <v>2593</v>
      </c>
      <c r="AU98" s="12" t="s">
        <v>309</v>
      </c>
      <c r="AV98" s="12"/>
      <c r="AW98" s="12"/>
      <c r="AX98" s="12">
        <v>0</v>
      </c>
      <c r="AY98" s="12">
        <v>73</v>
      </c>
      <c r="AZ98" s="12">
        <v>0</v>
      </c>
      <c r="BA98" s="12" t="s">
        <v>558</v>
      </c>
      <c r="BB98" s="12" t="s">
        <v>5843</v>
      </c>
      <c r="BC98" s="12" t="s">
        <v>6661</v>
      </c>
      <c r="BD98" s="12"/>
      <c r="BE98" s="12" t="s">
        <v>2291</v>
      </c>
      <c r="BF98" s="12"/>
      <c r="BG98" s="12"/>
      <c r="BH98" s="12"/>
      <c r="BI98" s="12"/>
      <c r="BJ98" s="12"/>
      <c r="BK98" s="12"/>
      <c r="BL98" s="12" t="s">
        <v>2292</v>
      </c>
      <c r="BM98" s="12" t="s">
        <v>2292</v>
      </c>
      <c r="BN98" s="12" t="s">
        <v>2292</v>
      </c>
      <c r="BO98" s="12" t="s">
        <v>2292</v>
      </c>
      <c r="BP98" s="12"/>
      <c r="BQ98" s="12"/>
      <c r="BR98" s="12" t="s">
        <v>559</v>
      </c>
      <c r="BS98" s="12"/>
      <c r="BT98" s="12"/>
      <c r="BU98" s="12"/>
      <c r="BV98" s="12"/>
      <c r="BW98" s="12" t="s">
        <v>560</v>
      </c>
      <c r="BX98" s="12"/>
      <c r="BY98" s="13" t="s">
        <v>313</v>
      </c>
      <c r="BZ98" s="13" t="s">
        <v>6170</v>
      </c>
      <c r="CA98" s="13" t="s">
        <v>6170</v>
      </c>
      <c r="CB98" s="13" t="s">
        <v>312</v>
      </c>
      <c r="CC98" s="13"/>
      <c r="CD98" s="13" t="s">
        <v>6198</v>
      </c>
      <c r="CE98" s="13"/>
      <c r="CF98" s="13"/>
    </row>
    <row r="99" spans="1:84" ht="18.600000000000001" customHeight="1" x14ac:dyDescent="0.25">
      <c r="A99" s="60" t="s">
        <v>30</v>
      </c>
      <c r="B99" s="2" t="s">
        <v>314</v>
      </c>
      <c r="C99" s="3" t="s">
        <v>2866</v>
      </c>
      <c r="D99" s="12" t="s">
        <v>563</v>
      </c>
      <c r="E99" s="12" t="s">
        <v>562</v>
      </c>
      <c r="F99" s="12" t="s">
        <v>4284</v>
      </c>
      <c r="G99" s="25">
        <v>273556</v>
      </c>
      <c r="H99" s="25">
        <v>216466</v>
      </c>
      <c r="I99" s="25">
        <v>8966</v>
      </c>
      <c r="J99" s="25">
        <v>43684</v>
      </c>
      <c r="K99" s="25">
        <v>550501</v>
      </c>
      <c r="L99" s="25">
        <v>234170</v>
      </c>
      <c r="M99" s="25">
        <v>784671</v>
      </c>
      <c r="N99" s="31">
        <v>0.7</v>
      </c>
      <c r="O99" s="25">
        <v>0</v>
      </c>
      <c r="P99" s="25">
        <v>0</v>
      </c>
      <c r="Q99" s="25">
        <v>2468</v>
      </c>
      <c r="R99" s="25">
        <v>250</v>
      </c>
      <c r="S99" s="25">
        <v>388</v>
      </c>
      <c r="T99" s="25">
        <v>812</v>
      </c>
      <c r="U99" s="61">
        <v>516</v>
      </c>
      <c r="V99" s="58">
        <v>8.0000000000000002E-3</v>
      </c>
      <c r="W99" s="33">
        <v>9.1000000000000004E-3</v>
      </c>
      <c r="X99" s="33">
        <v>3.0999999999999999E-3</v>
      </c>
      <c r="Y99" s="33">
        <v>3.3E-3</v>
      </c>
      <c r="Z99" s="33">
        <v>1.4200000000000001E-2</v>
      </c>
      <c r="AA99" s="33">
        <v>1.9E-3</v>
      </c>
      <c r="AB99" s="25">
        <v>655</v>
      </c>
      <c r="AC99" s="25">
        <v>485</v>
      </c>
      <c r="AD99" s="25">
        <v>3</v>
      </c>
      <c r="AE99" s="25">
        <v>116</v>
      </c>
      <c r="AF99" s="25">
        <v>44</v>
      </c>
      <c r="AG99" s="25">
        <v>0</v>
      </c>
      <c r="AH99" s="25">
        <v>7</v>
      </c>
      <c r="AI99" s="12">
        <v>1.49</v>
      </c>
      <c r="AJ99" s="25">
        <v>66023</v>
      </c>
      <c r="AK99" s="25">
        <v>32775</v>
      </c>
      <c r="AL99" s="33">
        <v>0.98580000000000001</v>
      </c>
      <c r="AM99" s="3" t="s">
        <v>2866</v>
      </c>
      <c r="AN99" s="12" t="s">
        <v>562</v>
      </c>
      <c r="AO99" s="12" t="s">
        <v>562</v>
      </c>
      <c r="AP99" s="12" t="str">
        <f>"563531873666309"</f>
        <v>563531873666309</v>
      </c>
      <c r="AQ99" s="12" t="s">
        <v>563</v>
      </c>
      <c r="AR99" s="12" t="s">
        <v>564</v>
      </c>
      <c r="AS99" s="12" t="s">
        <v>565</v>
      </c>
      <c r="AT99" s="12"/>
      <c r="AU99" s="12" t="s">
        <v>324</v>
      </c>
      <c r="AV99" s="12" t="s">
        <v>7067</v>
      </c>
      <c r="AW99" s="12"/>
      <c r="AX99" s="12">
        <v>17759</v>
      </c>
      <c r="AY99" s="12">
        <v>2855</v>
      </c>
      <c r="AZ99" s="12">
        <v>17759</v>
      </c>
      <c r="BA99" s="12" t="s">
        <v>566</v>
      </c>
      <c r="BB99" s="12" t="s">
        <v>7068</v>
      </c>
      <c r="BC99" s="12" t="s">
        <v>7069</v>
      </c>
      <c r="BD99" s="12"/>
      <c r="BE99" s="12" t="s">
        <v>2291</v>
      </c>
      <c r="BF99" s="12"/>
      <c r="BG99" s="12"/>
      <c r="BH99" s="12"/>
      <c r="BI99" s="12" t="s">
        <v>3447</v>
      </c>
      <c r="BJ99" s="12"/>
      <c r="BK99" s="12"/>
      <c r="BL99" s="12" t="s">
        <v>2292</v>
      </c>
      <c r="BM99" s="12" t="s">
        <v>2292</v>
      </c>
      <c r="BN99" s="12" t="s">
        <v>2292</v>
      </c>
      <c r="BO99" s="12" t="s">
        <v>2292</v>
      </c>
      <c r="BP99" s="12" t="s">
        <v>2867</v>
      </c>
      <c r="BQ99" s="12"/>
      <c r="BR99" s="12"/>
      <c r="BS99" s="12"/>
      <c r="BT99" s="12">
        <v>22320702000</v>
      </c>
      <c r="BU99" s="12" t="s">
        <v>326</v>
      </c>
      <c r="BV99" s="12" t="s">
        <v>3448</v>
      </c>
      <c r="BW99" s="12" t="s">
        <v>2868</v>
      </c>
      <c r="BX99" s="12"/>
      <c r="BY99" s="13" t="s">
        <v>313</v>
      </c>
      <c r="BZ99" s="13" t="s">
        <v>6173</v>
      </c>
      <c r="CA99" s="13" t="s">
        <v>6170</v>
      </c>
      <c r="CB99" s="13" t="s">
        <v>312</v>
      </c>
      <c r="CC99" s="13"/>
      <c r="CD99" s="13" t="s">
        <v>6198</v>
      </c>
      <c r="CE99" s="13"/>
      <c r="CF99" s="13"/>
    </row>
    <row r="100" spans="1:84" ht="18.600000000000001" customHeight="1" x14ac:dyDescent="0.25">
      <c r="A100" s="60" t="s">
        <v>30</v>
      </c>
      <c r="B100" s="2" t="s">
        <v>5697</v>
      </c>
      <c r="C100" s="3" t="s">
        <v>5698</v>
      </c>
      <c r="D100" s="12" t="s">
        <v>6015</v>
      </c>
      <c r="E100" s="12"/>
      <c r="F100" s="3" t="s">
        <v>6079</v>
      </c>
      <c r="G100" s="25">
        <v>20394</v>
      </c>
      <c r="H100" s="25">
        <v>14799</v>
      </c>
      <c r="I100" s="25">
        <v>3646</v>
      </c>
      <c r="J100" s="25">
        <v>1679</v>
      </c>
      <c r="K100" s="25">
        <v>0</v>
      </c>
      <c r="L100" s="25">
        <v>0</v>
      </c>
      <c r="M100" s="25">
        <v>0</v>
      </c>
      <c r="N100" s="31">
        <v>0</v>
      </c>
      <c r="O100" s="25">
        <v>0</v>
      </c>
      <c r="P100" s="25">
        <v>0</v>
      </c>
      <c r="Q100" s="25">
        <v>157</v>
      </c>
      <c r="R100" s="25">
        <v>11</v>
      </c>
      <c r="S100" s="25">
        <v>24</v>
      </c>
      <c r="T100" s="25">
        <v>50</v>
      </c>
      <c r="U100" s="61">
        <v>28</v>
      </c>
      <c r="V100" s="58">
        <v>5.6399999999999999E-2</v>
      </c>
      <c r="W100" s="33">
        <v>7.0800000000000002E-2</v>
      </c>
      <c r="X100" s="33">
        <v>0</v>
      </c>
      <c r="Y100" s="33">
        <v>0</v>
      </c>
      <c r="Z100" s="12" t="s">
        <v>3926</v>
      </c>
      <c r="AA100" s="12" t="s">
        <v>3926</v>
      </c>
      <c r="AB100" s="25">
        <v>13</v>
      </c>
      <c r="AC100" s="25">
        <v>10</v>
      </c>
      <c r="AD100" s="25">
        <v>1</v>
      </c>
      <c r="AE100" s="25">
        <v>2</v>
      </c>
      <c r="AF100" s="25">
        <v>0</v>
      </c>
      <c r="AG100" s="25">
        <v>0</v>
      </c>
      <c r="AH100" s="25">
        <v>0</v>
      </c>
      <c r="AI100" s="12">
        <v>0.03</v>
      </c>
      <c r="AJ100" s="25">
        <v>28009</v>
      </c>
      <c r="AK100" s="25">
        <v>0</v>
      </c>
      <c r="AL100" s="31">
        <v>0</v>
      </c>
      <c r="AM100" s="3" t="s">
        <v>5698</v>
      </c>
      <c r="AN100" s="12" t="s">
        <v>7249</v>
      </c>
      <c r="AO100" s="12"/>
      <c r="AP100" s="12" t="str">
        <f>"252932994776447"</f>
        <v>252932994776447</v>
      </c>
      <c r="AQ100" s="12" t="s">
        <v>6015</v>
      </c>
      <c r="AR100" s="12"/>
      <c r="AS100" s="12" t="s">
        <v>6016</v>
      </c>
      <c r="AT100" s="12"/>
      <c r="AU100" s="12" t="s">
        <v>319</v>
      </c>
      <c r="AV100" s="12"/>
      <c r="AW100" s="12"/>
      <c r="AX100" s="12">
        <v>0</v>
      </c>
      <c r="AY100" s="12">
        <v>120</v>
      </c>
      <c r="AZ100" s="12">
        <v>0</v>
      </c>
      <c r="BA100" s="12" t="s">
        <v>6017</v>
      </c>
      <c r="BB100" s="12"/>
      <c r="BC100" s="12" t="s">
        <v>7250</v>
      </c>
      <c r="BD100" s="12"/>
      <c r="BE100" s="12" t="s">
        <v>2291</v>
      </c>
      <c r="BF100" s="12"/>
      <c r="BG100" s="12"/>
      <c r="BH100" s="12"/>
      <c r="BI100" s="12"/>
      <c r="BJ100" s="12"/>
      <c r="BK100" s="12"/>
      <c r="BL100" s="12" t="s">
        <v>2292</v>
      </c>
      <c r="BM100" s="12" t="s">
        <v>2292</v>
      </c>
      <c r="BN100" s="12" t="s">
        <v>2292</v>
      </c>
      <c r="BO100" s="12" t="s">
        <v>2292</v>
      </c>
      <c r="BP100" s="12"/>
      <c r="BQ100" s="12"/>
      <c r="BR100" s="12"/>
      <c r="BS100" s="12"/>
      <c r="BT100" s="12"/>
      <c r="BU100" s="12"/>
      <c r="BV100" s="12"/>
      <c r="BW100" s="12"/>
      <c r="BX100" s="12"/>
      <c r="BY100" s="13" t="s">
        <v>313</v>
      </c>
      <c r="BZ100" s="13" t="s">
        <v>6170</v>
      </c>
      <c r="CA100" s="13" t="s">
        <v>6170</v>
      </c>
      <c r="CB100" s="13" t="s">
        <v>312</v>
      </c>
      <c r="CC100" s="13"/>
      <c r="CD100" s="13" t="s">
        <v>6198</v>
      </c>
      <c r="CE100" s="13"/>
      <c r="CF100" s="13"/>
    </row>
    <row r="101" spans="1:84" ht="18.600000000000001" customHeight="1" x14ac:dyDescent="0.25">
      <c r="A101" s="60" t="s">
        <v>30</v>
      </c>
      <c r="B101" s="2" t="s">
        <v>315</v>
      </c>
      <c r="C101" s="3" t="s">
        <v>3096</v>
      </c>
      <c r="D101" s="12" t="s">
        <v>567</v>
      </c>
      <c r="E101" s="12" t="s">
        <v>568</v>
      </c>
      <c r="F101" s="12" t="s">
        <v>4433</v>
      </c>
      <c r="G101" s="25">
        <v>33812</v>
      </c>
      <c r="H101" s="25">
        <v>23381</v>
      </c>
      <c r="I101" s="25">
        <v>3197</v>
      </c>
      <c r="J101" s="25">
        <v>6778</v>
      </c>
      <c r="K101" s="25">
        <v>10355</v>
      </c>
      <c r="L101" s="25">
        <v>20879</v>
      </c>
      <c r="M101" s="25">
        <v>31234</v>
      </c>
      <c r="N101" s="31">
        <v>0.33</v>
      </c>
      <c r="O101" s="25">
        <v>0</v>
      </c>
      <c r="P101" s="25">
        <v>0</v>
      </c>
      <c r="Q101" s="25">
        <v>250</v>
      </c>
      <c r="R101" s="25">
        <v>36</v>
      </c>
      <c r="S101" s="25">
        <v>35</v>
      </c>
      <c r="T101" s="25">
        <v>103</v>
      </c>
      <c r="U101" s="61">
        <v>32</v>
      </c>
      <c r="V101" s="58">
        <v>5.8999999999999999E-3</v>
      </c>
      <c r="W101" s="33">
        <v>5.7000000000000002E-3</v>
      </c>
      <c r="X101" s="33">
        <v>3.5000000000000001E-3</v>
      </c>
      <c r="Y101" s="33">
        <v>4.5999999999999999E-3</v>
      </c>
      <c r="Z101" s="33">
        <v>2.2100000000000002E-2</v>
      </c>
      <c r="AA101" s="12" t="s">
        <v>3926</v>
      </c>
      <c r="AB101" s="25">
        <v>366</v>
      </c>
      <c r="AC101" s="25">
        <v>239</v>
      </c>
      <c r="AD101" s="25">
        <v>6</v>
      </c>
      <c r="AE101" s="25">
        <v>117</v>
      </c>
      <c r="AF101" s="25">
        <v>4</v>
      </c>
      <c r="AG101" s="25">
        <v>0</v>
      </c>
      <c r="AH101" s="25">
        <v>0</v>
      </c>
      <c r="AI101" s="12">
        <v>0.83</v>
      </c>
      <c r="AJ101" s="25">
        <v>22209</v>
      </c>
      <c r="AK101" s="25">
        <v>10712</v>
      </c>
      <c r="AL101" s="33">
        <v>0.93169999999999997</v>
      </c>
      <c r="AM101" s="3" t="s">
        <v>3096</v>
      </c>
      <c r="AN101" s="12" t="s">
        <v>568</v>
      </c>
      <c r="AO101" s="12" t="s">
        <v>568</v>
      </c>
      <c r="AP101" s="12" t="str">
        <f>"528524953890825"</f>
        <v>528524953890825</v>
      </c>
      <c r="AQ101" s="12" t="s">
        <v>567</v>
      </c>
      <c r="AR101" s="12" t="s">
        <v>569</v>
      </c>
      <c r="AS101" s="12" t="s">
        <v>6074</v>
      </c>
      <c r="AT101" s="12"/>
      <c r="AU101" s="12" t="s">
        <v>324</v>
      </c>
      <c r="AV101" s="12"/>
      <c r="AW101" s="12"/>
      <c r="AX101" s="12">
        <v>0</v>
      </c>
      <c r="AY101" s="12">
        <v>1229</v>
      </c>
      <c r="AZ101" s="12">
        <v>0</v>
      </c>
      <c r="BA101" s="12" t="s">
        <v>570</v>
      </c>
      <c r="BB101" s="12"/>
      <c r="BC101" s="12" t="s">
        <v>7398</v>
      </c>
      <c r="BD101" s="12"/>
      <c r="BE101" s="12" t="s">
        <v>2291</v>
      </c>
      <c r="BF101" s="12"/>
      <c r="BG101" s="12"/>
      <c r="BH101" s="12"/>
      <c r="BI101" s="12"/>
      <c r="BJ101" s="12"/>
      <c r="BK101" s="12"/>
      <c r="BL101" s="12" t="s">
        <v>2292</v>
      </c>
      <c r="BM101" s="12" t="s">
        <v>2292</v>
      </c>
      <c r="BN101" s="12" t="s">
        <v>2292</v>
      </c>
      <c r="BO101" s="12" t="s">
        <v>2292</v>
      </c>
      <c r="BP101" s="12"/>
      <c r="BQ101" s="12"/>
      <c r="BR101" s="12"/>
      <c r="BS101" s="12"/>
      <c r="BT101" s="12"/>
      <c r="BU101" s="12"/>
      <c r="BV101" s="12"/>
      <c r="BW101" s="12"/>
      <c r="BX101" s="12"/>
      <c r="BY101" s="13" t="s">
        <v>313</v>
      </c>
      <c r="BZ101" s="13" t="s">
        <v>6172</v>
      </c>
      <c r="CA101" s="13"/>
      <c r="CB101" s="13"/>
      <c r="CC101" s="13"/>
      <c r="CD101" s="13"/>
      <c r="CE101" s="13"/>
      <c r="CF101" s="13"/>
    </row>
    <row r="102" spans="1:84" ht="18.600000000000001" customHeight="1" x14ac:dyDescent="0.25">
      <c r="A102" s="60" t="s">
        <v>30</v>
      </c>
      <c r="B102" s="2" t="s">
        <v>5696</v>
      </c>
      <c r="C102" s="3" t="s">
        <v>5699</v>
      </c>
      <c r="D102" s="12" t="s">
        <v>5711</v>
      </c>
      <c r="E102" s="12"/>
      <c r="F102" s="12" t="s">
        <v>5712</v>
      </c>
      <c r="G102" s="25">
        <v>2081</v>
      </c>
      <c r="H102" s="25">
        <v>1676</v>
      </c>
      <c r="I102" s="25">
        <v>233</v>
      </c>
      <c r="J102" s="25">
        <v>134</v>
      </c>
      <c r="K102" s="25">
        <v>0</v>
      </c>
      <c r="L102" s="25">
        <v>0</v>
      </c>
      <c r="M102" s="25">
        <v>0</v>
      </c>
      <c r="N102" s="31">
        <v>0</v>
      </c>
      <c r="O102" s="25">
        <v>215</v>
      </c>
      <c r="P102" s="25">
        <v>0</v>
      </c>
      <c r="Q102" s="25">
        <v>35</v>
      </c>
      <c r="R102" s="25">
        <v>2</v>
      </c>
      <c r="S102" s="25">
        <v>1</v>
      </c>
      <c r="T102" s="25">
        <v>0</v>
      </c>
      <c r="U102" s="61">
        <v>0</v>
      </c>
      <c r="V102" s="58">
        <v>1.5100000000000001E-2</v>
      </c>
      <c r="W102" s="33">
        <v>0</v>
      </c>
      <c r="X102" s="33">
        <v>0</v>
      </c>
      <c r="Y102" s="33">
        <v>0</v>
      </c>
      <c r="Z102" s="12" t="s">
        <v>3926</v>
      </c>
      <c r="AA102" s="12" t="s">
        <v>3926</v>
      </c>
      <c r="AB102" s="25">
        <v>44</v>
      </c>
      <c r="AC102" s="25">
        <v>34</v>
      </c>
      <c r="AD102" s="25">
        <v>7</v>
      </c>
      <c r="AE102" s="25">
        <v>2</v>
      </c>
      <c r="AF102" s="25">
        <v>0</v>
      </c>
      <c r="AG102" s="25">
        <v>1</v>
      </c>
      <c r="AH102" s="25">
        <v>0</v>
      </c>
      <c r="AI102" s="12">
        <v>0.1</v>
      </c>
      <c r="AJ102" s="25">
        <v>3114</v>
      </c>
      <c r="AK102" s="25">
        <v>0</v>
      </c>
      <c r="AL102" s="31">
        <v>0</v>
      </c>
      <c r="AM102" s="3" t="s">
        <v>5699</v>
      </c>
      <c r="AN102" s="12" t="s">
        <v>6035</v>
      </c>
      <c r="AO102" s="12"/>
      <c r="AP102" s="12" t="str">
        <f>"780940372005195"</f>
        <v>780940372005195</v>
      </c>
      <c r="AQ102" s="12" t="s">
        <v>5711</v>
      </c>
      <c r="AR102" s="12"/>
      <c r="AS102" s="12" t="s">
        <v>6036</v>
      </c>
      <c r="AT102" s="12"/>
      <c r="AU102" s="12" t="s">
        <v>319</v>
      </c>
      <c r="AV102" s="12"/>
      <c r="AW102" s="12"/>
      <c r="AX102" s="12">
        <v>0</v>
      </c>
      <c r="AY102" s="12">
        <v>2</v>
      </c>
      <c r="AZ102" s="12">
        <v>0</v>
      </c>
      <c r="BA102" s="12" t="s">
        <v>6037</v>
      </c>
      <c r="BB102" s="12"/>
      <c r="BC102" s="12" t="s">
        <v>7301</v>
      </c>
      <c r="BD102" s="12"/>
      <c r="BE102" s="12" t="s">
        <v>2291</v>
      </c>
      <c r="BF102" s="12"/>
      <c r="BG102" s="12"/>
      <c r="BH102" s="12"/>
      <c r="BI102" s="12"/>
      <c r="BJ102" s="12"/>
      <c r="BK102" s="12"/>
      <c r="BL102" s="12" t="s">
        <v>2292</v>
      </c>
      <c r="BM102" s="12" t="s">
        <v>2292</v>
      </c>
      <c r="BN102" s="12" t="s">
        <v>2292</v>
      </c>
      <c r="BO102" s="12" t="s">
        <v>2292</v>
      </c>
      <c r="BP102" s="12"/>
      <c r="BQ102" s="12"/>
      <c r="BR102" s="12"/>
      <c r="BS102" s="12"/>
      <c r="BT102" s="12"/>
      <c r="BU102" s="12"/>
      <c r="BV102" s="12"/>
      <c r="BW102" s="12"/>
      <c r="BX102" s="12"/>
      <c r="BY102" s="13" t="s">
        <v>313</v>
      </c>
      <c r="BZ102" s="13" t="s">
        <v>312</v>
      </c>
      <c r="CA102" s="13"/>
      <c r="CB102" s="13"/>
      <c r="CC102" s="13"/>
      <c r="CD102" s="13"/>
      <c r="CE102" s="13"/>
      <c r="CF102" s="13"/>
    </row>
    <row r="103" spans="1:84" ht="18.600000000000001" customHeight="1" x14ac:dyDescent="0.25">
      <c r="A103" s="60" t="s">
        <v>30</v>
      </c>
      <c r="B103" s="2" t="s">
        <v>335</v>
      </c>
      <c r="C103" s="10" t="s">
        <v>5701</v>
      </c>
      <c r="D103" s="12" t="s">
        <v>5703</v>
      </c>
      <c r="E103" s="12" t="s">
        <v>5704</v>
      </c>
      <c r="F103" s="12" t="s">
        <v>5705</v>
      </c>
      <c r="G103" s="25">
        <v>4347</v>
      </c>
      <c r="H103" s="25">
        <v>3313</v>
      </c>
      <c r="I103" s="25">
        <v>173</v>
      </c>
      <c r="J103" s="25">
        <v>824</v>
      </c>
      <c r="K103" s="25">
        <v>504</v>
      </c>
      <c r="L103" s="25">
        <v>5119</v>
      </c>
      <c r="M103" s="25">
        <v>5623</v>
      </c>
      <c r="N103" s="31">
        <v>0.09</v>
      </c>
      <c r="O103" s="25">
        <v>0</v>
      </c>
      <c r="P103" s="25">
        <v>0</v>
      </c>
      <c r="Q103" s="25">
        <v>31</v>
      </c>
      <c r="R103" s="25">
        <v>1</v>
      </c>
      <c r="S103" s="25">
        <v>1</v>
      </c>
      <c r="T103" s="25">
        <v>4</v>
      </c>
      <c r="U103" s="61">
        <v>0</v>
      </c>
      <c r="V103" s="58">
        <v>5.7000000000000002E-3</v>
      </c>
      <c r="W103" s="33">
        <v>6.4000000000000003E-3</v>
      </c>
      <c r="X103" s="33">
        <v>3.5000000000000001E-3</v>
      </c>
      <c r="Y103" s="33">
        <v>3.8999999999999998E-3</v>
      </c>
      <c r="Z103" s="33">
        <v>1.5299999999999999E-2</v>
      </c>
      <c r="AA103" s="33">
        <v>1.2999999999999999E-3</v>
      </c>
      <c r="AB103" s="25">
        <v>236</v>
      </c>
      <c r="AC103" s="25">
        <v>164</v>
      </c>
      <c r="AD103" s="25">
        <v>28</v>
      </c>
      <c r="AE103" s="25">
        <v>38</v>
      </c>
      <c r="AF103" s="25">
        <v>3</v>
      </c>
      <c r="AG103" s="25">
        <v>1</v>
      </c>
      <c r="AH103" s="25">
        <v>2</v>
      </c>
      <c r="AI103" s="12">
        <v>0.54</v>
      </c>
      <c r="AJ103" s="25">
        <v>3304</v>
      </c>
      <c r="AK103" s="25">
        <v>0</v>
      </c>
      <c r="AL103" s="31">
        <v>0</v>
      </c>
      <c r="AM103" s="10" t="s">
        <v>5701</v>
      </c>
      <c r="AN103" s="12" t="s">
        <v>5704</v>
      </c>
      <c r="AO103" s="12" t="s">
        <v>5704</v>
      </c>
      <c r="AP103" s="12" t="str">
        <f>"188672298178431"</f>
        <v>188672298178431</v>
      </c>
      <c r="AQ103" s="12" t="s">
        <v>5703</v>
      </c>
      <c r="AR103" s="12" t="s">
        <v>5884</v>
      </c>
      <c r="AS103" s="12" t="s">
        <v>5885</v>
      </c>
      <c r="AT103" s="12"/>
      <c r="AU103" s="12" t="s">
        <v>324</v>
      </c>
      <c r="AV103" s="12"/>
      <c r="AW103" s="12"/>
      <c r="AX103" s="12">
        <v>0</v>
      </c>
      <c r="AY103" s="12">
        <v>199</v>
      </c>
      <c r="AZ103" s="12">
        <v>0</v>
      </c>
      <c r="BA103" s="12" t="s">
        <v>5886</v>
      </c>
      <c r="BB103" s="12"/>
      <c r="BC103" s="12" t="s">
        <v>6781</v>
      </c>
      <c r="BD103" s="12"/>
      <c r="BE103" s="12" t="s">
        <v>2291</v>
      </c>
      <c r="BF103" s="12"/>
      <c r="BG103" s="12"/>
      <c r="BH103" s="12"/>
      <c r="BI103" s="12"/>
      <c r="BJ103" s="12"/>
      <c r="BK103" s="12"/>
      <c r="BL103" s="12" t="s">
        <v>2292</v>
      </c>
      <c r="BM103" s="12" t="s">
        <v>2292</v>
      </c>
      <c r="BN103" s="12" t="s">
        <v>2292</v>
      </c>
      <c r="BO103" s="12" t="s">
        <v>2292</v>
      </c>
      <c r="BP103" s="12" t="s">
        <v>5887</v>
      </c>
      <c r="BQ103" s="12"/>
      <c r="BR103" s="12"/>
      <c r="BS103" s="12"/>
      <c r="BT103" s="12"/>
      <c r="BU103" s="12"/>
      <c r="BV103" s="12"/>
      <c r="BW103" s="12"/>
      <c r="BX103" s="12"/>
      <c r="BY103" s="13" t="s">
        <v>313</v>
      </c>
      <c r="BZ103" s="13" t="s">
        <v>6172</v>
      </c>
      <c r="CA103" s="13" t="s">
        <v>6170</v>
      </c>
      <c r="CB103" s="13" t="s">
        <v>6202</v>
      </c>
      <c r="CC103" s="13"/>
      <c r="CD103" s="13" t="s">
        <v>6195</v>
      </c>
      <c r="CE103" s="13"/>
      <c r="CF103" s="13"/>
    </row>
    <row r="104" spans="1:84" ht="18.600000000000001" customHeight="1" x14ac:dyDescent="0.25">
      <c r="A104" s="63" t="s">
        <v>31</v>
      </c>
      <c r="B104" s="2" t="s">
        <v>5700</v>
      </c>
      <c r="C104" s="3" t="s">
        <v>5692</v>
      </c>
      <c r="D104" s="12" t="s">
        <v>5694</v>
      </c>
      <c r="E104" s="12" t="s">
        <v>5693</v>
      </c>
      <c r="F104" s="12" t="s">
        <v>5706</v>
      </c>
      <c r="G104" s="25">
        <v>7747</v>
      </c>
      <c r="H104" s="25">
        <v>4424</v>
      </c>
      <c r="I104" s="25">
        <v>1035</v>
      </c>
      <c r="J104" s="25">
        <v>2113</v>
      </c>
      <c r="K104" s="25">
        <v>459</v>
      </c>
      <c r="L104" s="25">
        <v>174</v>
      </c>
      <c r="M104" s="25">
        <v>633</v>
      </c>
      <c r="N104" s="31">
        <v>0.73</v>
      </c>
      <c r="O104" s="25">
        <v>452</v>
      </c>
      <c r="P104" s="25">
        <v>0</v>
      </c>
      <c r="Q104" s="25">
        <v>87</v>
      </c>
      <c r="R104" s="25">
        <v>9</v>
      </c>
      <c r="S104" s="25">
        <v>26</v>
      </c>
      <c r="T104" s="25">
        <v>5</v>
      </c>
      <c r="U104" s="61">
        <v>48</v>
      </c>
      <c r="V104" s="58">
        <v>3.0999999999999999E-3</v>
      </c>
      <c r="W104" s="33">
        <v>0</v>
      </c>
      <c r="X104" s="33">
        <v>2.8999999999999998E-3</v>
      </c>
      <c r="Y104" s="33">
        <v>0</v>
      </c>
      <c r="Z104" s="33">
        <v>7.7000000000000002E-3</v>
      </c>
      <c r="AA104" s="12" t="s">
        <v>3926</v>
      </c>
      <c r="AB104" s="25">
        <v>413</v>
      </c>
      <c r="AC104" s="25">
        <v>16</v>
      </c>
      <c r="AD104" s="25">
        <v>385</v>
      </c>
      <c r="AE104" s="25">
        <v>9</v>
      </c>
      <c r="AF104" s="25">
        <v>1</v>
      </c>
      <c r="AG104" s="25">
        <v>2</v>
      </c>
      <c r="AH104" s="25">
        <v>0</v>
      </c>
      <c r="AI104" s="12">
        <v>0.94</v>
      </c>
      <c r="AJ104" s="25">
        <v>6066</v>
      </c>
      <c r="AK104" s="25">
        <v>0</v>
      </c>
      <c r="AL104" s="31">
        <v>0</v>
      </c>
      <c r="AM104" s="3" t="s">
        <v>5692</v>
      </c>
      <c r="AN104" s="12" t="s">
        <v>5693</v>
      </c>
      <c r="AO104" s="12" t="s">
        <v>5693</v>
      </c>
      <c r="AP104" s="12" t="str">
        <f>"214200989058768"</f>
        <v>214200989058768</v>
      </c>
      <c r="AQ104" s="12" t="s">
        <v>5694</v>
      </c>
      <c r="AR104" s="12" t="s">
        <v>6003</v>
      </c>
      <c r="AS104" s="12" t="s">
        <v>1144</v>
      </c>
      <c r="AT104" s="12" t="s">
        <v>6004</v>
      </c>
      <c r="AU104" s="12" t="s">
        <v>5231</v>
      </c>
      <c r="AV104" s="12"/>
      <c r="AW104" s="12"/>
      <c r="AX104" s="12">
        <v>0</v>
      </c>
      <c r="AY104" s="12">
        <v>309</v>
      </c>
      <c r="AZ104" s="12">
        <v>0</v>
      </c>
      <c r="BA104" s="12" t="s">
        <v>6005</v>
      </c>
      <c r="BB104" s="12"/>
      <c r="BC104" s="12" t="s">
        <v>7211</v>
      </c>
      <c r="BD104" s="12" t="s">
        <v>6006</v>
      </c>
      <c r="BE104" s="12" t="s">
        <v>2291</v>
      </c>
      <c r="BF104" s="12"/>
      <c r="BG104" s="12"/>
      <c r="BH104" s="12"/>
      <c r="BI104" s="12" t="s">
        <v>6007</v>
      </c>
      <c r="BJ104" s="12"/>
      <c r="BK104" s="12"/>
      <c r="BL104" s="12" t="s">
        <v>2292</v>
      </c>
      <c r="BM104" s="12" t="s">
        <v>2292</v>
      </c>
      <c r="BN104" s="12" t="s">
        <v>2292</v>
      </c>
      <c r="BO104" s="12" t="s">
        <v>2292</v>
      </c>
      <c r="BP104" s="12"/>
      <c r="BQ104" s="12"/>
      <c r="BR104" s="12" t="s">
        <v>6008</v>
      </c>
      <c r="BS104" s="12" t="s">
        <v>6009</v>
      </c>
      <c r="BT104" s="12"/>
      <c r="BU104" s="12"/>
      <c r="BV104" s="12"/>
      <c r="BW104" s="12"/>
      <c r="BX104" s="12"/>
      <c r="BY104" s="13" t="s">
        <v>313</v>
      </c>
      <c r="BZ104" s="13" t="s">
        <v>312</v>
      </c>
      <c r="CA104" s="13"/>
      <c r="CB104" s="13"/>
      <c r="CC104" s="13"/>
      <c r="CD104" s="13"/>
      <c r="CE104" s="13"/>
      <c r="CF104" s="13"/>
    </row>
    <row r="105" spans="1:84" ht="18.600000000000001" customHeight="1" x14ac:dyDescent="0.25">
      <c r="A105" s="60" t="s">
        <v>31</v>
      </c>
      <c r="B105" s="27" t="s">
        <v>315</v>
      </c>
      <c r="C105" s="3" t="s">
        <v>2401</v>
      </c>
      <c r="D105" s="12" t="s">
        <v>572</v>
      </c>
      <c r="E105" s="12" t="s">
        <v>571</v>
      </c>
      <c r="F105" s="12" t="s">
        <v>3992</v>
      </c>
      <c r="G105" s="25">
        <v>81734</v>
      </c>
      <c r="H105" s="25">
        <v>54979</v>
      </c>
      <c r="I105" s="25">
        <v>15022</v>
      </c>
      <c r="J105" s="25">
        <v>6144</v>
      </c>
      <c r="K105" s="25">
        <v>572001</v>
      </c>
      <c r="L105" s="25">
        <v>93211</v>
      </c>
      <c r="M105" s="25">
        <v>665212</v>
      </c>
      <c r="N105" s="31">
        <v>0.86</v>
      </c>
      <c r="O105" s="25">
        <v>0</v>
      </c>
      <c r="P105" s="25">
        <v>323</v>
      </c>
      <c r="Q105" s="25">
        <v>1243</v>
      </c>
      <c r="R105" s="25">
        <v>165</v>
      </c>
      <c r="S105" s="25">
        <v>2842</v>
      </c>
      <c r="T105" s="25">
        <v>170</v>
      </c>
      <c r="U105" s="61">
        <v>1168</v>
      </c>
      <c r="V105" s="58">
        <v>2.0000000000000001E-4</v>
      </c>
      <c r="W105" s="33">
        <v>2.0000000000000001E-4</v>
      </c>
      <c r="X105" s="33">
        <v>2.0000000000000001E-4</v>
      </c>
      <c r="Y105" s="33">
        <v>2.9999999999999997E-4</v>
      </c>
      <c r="Z105" s="33">
        <v>5.0000000000000001E-4</v>
      </c>
      <c r="AA105" s="33">
        <v>1E-4</v>
      </c>
      <c r="AB105" s="25">
        <v>642</v>
      </c>
      <c r="AC105" s="25">
        <v>409</v>
      </c>
      <c r="AD105" s="25">
        <v>23</v>
      </c>
      <c r="AE105" s="25">
        <v>42</v>
      </c>
      <c r="AF105" s="25">
        <v>43</v>
      </c>
      <c r="AG105" s="25">
        <v>0</v>
      </c>
      <c r="AH105" s="25">
        <v>125</v>
      </c>
      <c r="AI105" s="12">
        <v>1.46</v>
      </c>
      <c r="AJ105" s="25">
        <v>622194</v>
      </c>
      <c r="AK105" s="25">
        <v>-12955</v>
      </c>
      <c r="AL105" s="33">
        <v>-2.0400000000000001E-2</v>
      </c>
      <c r="AM105" s="3" t="s">
        <v>2401</v>
      </c>
      <c r="AN105" s="12" t="s">
        <v>571</v>
      </c>
      <c r="AO105" s="12" t="s">
        <v>571</v>
      </c>
      <c r="AP105" s="12" t="str">
        <f>"270219276428374"</f>
        <v>270219276428374</v>
      </c>
      <c r="AQ105" s="12" t="s">
        <v>572</v>
      </c>
      <c r="AR105" s="12" t="s">
        <v>573</v>
      </c>
      <c r="AS105" s="12" t="s">
        <v>574</v>
      </c>
      <c r="AT105" s="12"/>
      <c r="AU105" s="12" t="s">
        <v>424</v>
      </c>
      <c r="AV105" s="12"/>
      <c r="AW105" s="12"/>
      <c r="AX105" s="12">
        <v>0</v>
      </c>
      <c r="AY105" s="12">
        <v>2052</v>
      </c>
      <c r="AZ105" s="12">
        <v>0</v>
      </c>
      <c r="BA105" s="12" t="s">
        <v>575</v>
      </c>
      <c r="BB105" s="12"/>
      <c r="BC105" s="12" t="s">
        <v>6418</v>
      </c>
      <c r="BD105" s="12"/>
      <c r="BE105" s="12" t="s">
        <v>2291</v>
      </c>
      <c r="BF105" s="12"/>
      <c r="BG105" s="12"/>
      <c r="BH105" s="12"/>
      <c r="BI105" s="12"/>
      <c r="BJ105" s="12"/>
      <c r="BK105" s="12"/>
      <c r="BL105" s="12" t="s">
        <v>2292</v>
      </c>
      <c r="BM105" s="12" t="s">
        <v>2292</v>
      </c>
      <c r="BN105" s="12" t="s">
        <v>2292</v>
      </c>
      <c r="BO105" s="12" t="s">
        <v>2292</v>
      </c>
      <c r="BP105" s="12"/>
      <c r="BQ105" s="12"/>
      <c r="BR105" s="12"/>
      <c r="BS105" s="12"/>
      <c r="BT105" s="12"/>
      <c r="BU105" s="12"/>
      <c r="BV105" s="12"/>
      <c r="BW105" s="12"/>
      <c r="BX105" s="12"/>
      <c r="BY105" s="13" t="s">
        <v>313</v>
      </c>
      <c r="BZ105" s="13" t="s">
        <v>312</v>
      </c>
      <c r="CA105" s="13"/>
      <c r="CB105" s="13"/>
      <c r="CC105" s="13"/>
      <c r="CD105" s="13"/>
      <c r="CE105" s="13"/>
      <c r="CF105" s="13"/>
    </row>
    <row r="106" spans="1:84" ht="18.600000000000001" customHeight="1" x14ac:dyDescent="0.25">
      <c r="A106" s="60" t="s">
        <v>31</v>
      </c>
      <c r="B106" s="2" t="s">
        <v>315</v>
      </c>
      <c r="C106" s="3" t="s">
        <v>2453</v>
      </c>
      <c r="D106" s="12" t="s">
        <v>576</v>
      </c>
      <c r="E106" s="12" t="s">
        <v>577</v>
      </c>
      <c r="F106" s="12" t="s">
        <v>4032</v>
      </c>
      <c r="G106" s="25">
        <v>275</v>
      </c>
      <c r="H106" s="25">
        <v>108</v>
      </c>
      <c r="I106" s="25">
        <v>63</v>
      </c>
      <c r="J106" s="25">
        <v>95</v>
      </c>
      <c r="K106" s="25">
        <v>0</v>
      </c>
      <c r="L106" s="25">
        <v>0</v>
      </c>
      <c r="M106" s="25">
        <v>0</v>
      </c>
      <c r="N106" s="31">
        <v>0</v>
      </c>
      <c r="O106" s="25">
        <v>0</v>
      </c>
      <c r="P106" s="25">
        <v>0</v>
      </c>
      <c r="Q106" s="25">
        <v>1</v>
      </c>
      <c r="R106" s="25">
        <v>1</v>
      </c>
      <c r="S106" s="25">
        <v>2</v>
      </c>
      <c r="T106" s="25">
        <v>0</v>
      </c>
      <c r="U106" s="61">
        <v>5</v>
      </c>
      <c r="V106" s="58">
        <v>1.6999999999999999E-3</v>
      </c>
      <c r="W106" s="33">
        <v>2.0999999999999999E-3</v>
      </c>
      <c r="X106" s="33">
        <v>4.0000000000000002E-4</v>
      </c>
      <c r="Y106" s="12" t="s">
        <v>3926</v>
      </c>
      <c r="Z106" s="12" t="s">
        <v>3926</v>
      </c>
      <c r="AA106" s="12" t="s">
        <v>3926</v>
      </c>
      <c r="AB106" s="25">
        <v>8</v>
      </c>
      <c r="AC106" s="25">
        <v>6</v>
      </c>
      <c r="AD106" s="25">
        <v>2</v>
      </c>
      <c r="AE106" s="25">
        <v>0</v>
      </c>
      <c r="AF106" s="25">
        <v>0</v>
      </c>
      <c r="AG106" s="25">
        <v>0</v>
      </c>
      <c r="AH106" s="25">
        <v>0</v>
      </c>
      <c r="AI106" s="12">
        <v>0.02</v>
      </c>
      <c r="AJ106" s="25">
        <v>20592</v>
      </c>
      <c r="AK106" s="25">
        <v>382</v>
      </c>
      <c r="AL106" s="33">
        <v>1.89E-2</v>
      </c>
      <c r="AM106" s="3" t="s">
        <v>2453</v>
      </c>
      <c r="AN106" s="12" t="s">
        <v>577</v>
      </c>
      <c r="AO106" s="12" t="s">
        <v>577</v>
      </c>
      <c r="AP106" s="12" t="str">
        <f>"181040572096365"</f>
        <v>181040572096365</v>
      </c>
      <c r="AQ106" s="12" t="s">
        <v>576</v>
      </c>
      <c r="AR106" s="12" t="s">
        <v>578</v>
      </c>
      <c r="AS106" s="12" t="s">
        <v>579</v>
      </c>
      <c r="AT106" s="12"/>
      <c r="AU106" s="12" t="s">
        <v>324</v>
      </c>
      <c r="AV106" s="12"/>
      <c r="AW106" s="12"/>
      <c r="AX106" s="12">
        <v>0</v>
      </c>
      <c r="AY106" s="12">
        <v>29</v>
      </c>
      <c r="AZ106" s="12">
        <v>0</v>
      </c>
      <c r="BA106" s="12" t="s">
        <v>580</v>
      </c>
      <c r="BB106" s="12" t="s">
        <v>5807</v>
      </c>
      <c r="BC106" s="12" t="s">
        <v>6497</v>
      </c>
      <c r="BD106" s="12"/>
      <c r="BE106" s="12" t="s">
        <v>2291</v>
      </c>
      <c r="BF106" s="12"/>
      <c r="BG106" s="12"/>
      <c r="BH106" s="12"/>
      <c r="BI106" s="12" t="s">
        <v>2454</v>
      </c>
      <c r="BJ106" s="12"/>
      <c r="BK106" s="12"/>
      <c r="BL106" s="12" t="s">
        <v>2292</v>
      </c>
      <c r="BM106" s="12" t="s">
        <v>2292</v>
      </c>
      <c r="BN106" s="12" t="s">
        <v>2292</v>
      </c>
      <c r="BO106" s="12" t="s">
        <v>2292</v>
      </c>
      <c r="BP106" s="12"/>
      <c r="BQ106" s="12"/>
      <c r="BR106" s="12"/>
      <c r="BS106" s="12"/>
      <c r="BT106" s="12"/>
      <c r="BU106" s="12"/>
      <c r="BV106" s="12"/>
      <c r="BW106" s="12" t="s">
        <v>581</v>
      </c>
      <c r="BX106" s="12"/>
      <c r="BY106" s="13" t="s">
        <v>313</v>
      </c>
      <c r="BZ106" s="13" t="s">
        <v>6170</v>
      </c>
      <c r="CA106" s="13" t="s">
        <v>6170</v>
      </c>
      <c r="CB106" s="13" t="s">
        <v>312</v>
      </c>
      <c r="CC106" s="13"/>
      <c r="CD106" s="13" t="s">
        <v>6198</v>
      </c>
      <c r="CE106" s="13"/>
      <c r="CF106" s="13"/>
    </row>
    <row r="107" spans="1:84" ht="18.600000000000001" customHeight="1" x14ac:dyDescent="0.25">
      <c r="A107" s="60" t="s">
        <v>32</v>
      </c>
      <c r="B107" s="2" t="s">
        <v>586</v>
      </c>
      <c r="C107" s="3" t="s">
        <v>2819</v>
      </c>
      <c r="D107" s="12" t="s">
        <v>5140</v>
      </c>
      <c r="E107" s="12" t="s">
        <v>582</v>
      </c>
      <c r="F107" s="12" t="s">
        <v>4244</v>
      </c>
      <c r="G107" s="25">
        <v>472063</v>
      </c>
      <c r="H107" s="25">
        <v>407317</v>
      </c>
      <c r="I107" s="25">
        <v>34775</v>
      </c>
      <c r="J107" s="25">
        <v>23694</v>
      </c>
      <c r="K107" s="25">
        <v>304467</v>
      </c>
      <c r="L107" s="25">
        <v>49680</v>
      </c>
      <c r="M107" s="25">
        <v>354147</v>
      </c>
      <c r="N107" s="31">
        <v>0.86</v>
      </c>
      <c r="O107" s="25">
        <v>0</v>
      </c>
      <c r="P107" s="25">
        <v>1731</v>
      </c>
      <c r="Q107" s="25">
        <v>4894</v>
      </c>
      <c r="R107" s="25">
        <v>652</v>
      </c>
      <c r="S107" s="25">
        <v>412</v>
      </c>
      <c r="T107" s="25">
        <v>201</v>
      </c>
      <c r="U107" s="61">
        <v>118</v>
      </c>
      <c r="V107" s="58">
        <v>2.9600000000000001E-2</v>
      </c>
      <c r="W107" s="33">
        <v>3.3000000000000002E-2</v>
      </c>
      <c r="X107" s="12" t="s">
        <v>3926</v>
      </c>
      <c r="Y107" s="33">
        <v>1.8100000000000002E-2</v>
      </c>
      <c r="Z107" s="33">
        <v>1.43E-2</v>
      </c>
      <c r="AA107" s="33">
        <v>5.1000000000000004E-3</v>
      </c>
      <c r="AB107" s="25">
        <v>116</v>
      </c>
      <c r="AC107" s="25">
        <v>88</v>
      </c>
      <c r="AD107" s="25">
        <v>0</v>
      </c>
      <c r="AE107" s="25">
        <v>2</v>
      </c>
      <c r="AF107" s="25">
        <v>25</v>
      </c>
      <c r="AG107" s="25">
        <v>0</v>
      </c>
      <c r="AH107" s="25">
        <v>1</v>
      </c>
      <c r="AI107" s="12">
        <v>0.26</v>
      </c>
      <c r="AJ107" s="25">
        <v>182938</v>
      </c>
      <c r="AK107" s="25">
        <v>79347</v>
      </c>
      <c r="AL107" s="33">
        <v>0.76600000000000001</v>
      </c>
      <c r="AM107" s="3" t="s">
        <v>2819</v>
      </c>
      <c r="AN107" s="12" t="s">
        <v>582</v>
      </c>
      <c r="AO107" s="12" t="s">
        <v>582</v>
      </c>
      <c r="AP107" s="12" t="str">
        <f>"1396948690571925"</f>
        <v>1396948690571925</v>
      </c>
      <c r="AQ107" s="12" t="s">
        <v>5140</v>
      </c>
      <c r="AR107" s="12" t="s">
        <v>583</v>
      </c>
      <c r="AS107" s="12" t="s">
        <v>2820</v>
      </c>
      <c r="AT107" s="12" t="s">
        <v>2821</v>
      </c>
      <c r="AU107" s="12" t="s">
        <v>309</v>
      </c>
      <c r="AV107" s="12"/>
      <c r="AW107" s="12"/>
      <c r="AX107" s="12">
        <v>0</v>
      </c>
      <c r="AY107" s="12">
        <v>7637</v>
      </c>
      <c r="AZ107" s="12">
        <v>0</v>
      </c>
      <c r="BA107" s="12" t="s">
        <v>584</v>
      </c>
      <c r="BB107" s="12" t="s">
        <v>5945</v>
      </c>
      <c r="BC107" s="12" t="s">
        <v>6982</v>
      </c>
      <c r="BD107" s="12"/>
      <c r="BE107" s="12" t="s">
        <v>2291</v>
      </c>
      <c r="BF107" s="12"/>
      <c r="BG107" s="12"/>
      <c r="BH107" s="12"/>
      <c r="BI107" s="12"/>
      <c r="BJ107" s="12"/>
      <c r="BK107" s="12"/>
      <c r="BL107" s="12" t="s">
        <v>2292</v>
      </c>
      <c r="BM107" s="12" t="s">
        <v>2292</v>
      </c>
      <c r="BN107" s="12" t="s">
        <v>2292</v>
      </c>
      <c r="BO107" s="12" t="s">
        <v>2292</v>
      </c>
      <c r="BP107" s="12"/>
      <c r="BQ107" s="12"/>
      <c r="BR107" s="12"/>
      <c r="BS107" s="12"/>
      <c r="BT107" s="12"/>
      <c r="BU107" s="12"/>
      <c r="BV107" s="12"/>
      <c r="BW107" s="12" t="s">
        <v>585</v>
      </c>
      <c r="BX107" s="12"/>
      <c r="BY107" s="13" t="s">
        <v>313</v>
      </c>
      <c r="BZ107" s="13" t="s">
        <v>312</v>
      </c>
      <c r="CA107" s="13"/>
      <c r="CB107" s="13"/>
      <c r="CC107" s="13"/>
      <c r="CD107" s="13"/>
      <c r="CE107" s="13"/>
      <c r="CF107" s="13"/>
    </row>
    <row r="108" spans="1:84" ht="18.600000000000001" customHeight="1" x14ac:dyDescent="0.25">
      <c r="A108" s="60" t="s">
        <v>32</v>
      </c>
      <c r="B108" s="2" t="s">
        <v>592</v>
      </c>
      <c r="C108" s="3" t="s">
        <v>2388</v>
      </c>
      <c r="D108" s="12" t="s">
        <v>587</v>
      </c>
      <c r="E108" s="12"/>
      <c r="F108" s="12" t="s">
        <v>4464</v>
      </c>
      <c r="G108" s="25">
        <v>374</v>
      </c>
      <c r="H108" s="25">
        <v>310</v>
      </c>
      <c r="I108" s="25">
        <v>50</v>
      </c>
      <c r="J108" s="25">
        <v>3</v>
      </c>
      <c r="K108" s="25">
        <v>0</v>
      </c>
      <c r="L108" s="25">
        <v>0</v>
      </c>
      <c r="M108" s="25">
        <v>0</v>
      </c>
      <c r="N108" s="31">
        <v>0</v>
      </c>
      <c r="O108" s="25">
        <v>0</v>
      </c>
      <c r="P108" s="25">
        <v>0</v>
      </c>
      <c r="Q108" s="25">
        <v>9</v>
      </c>
      <c r="R108" s="25">
        <v>2</v>
      </c>
      <c r="S108" s="25">
        <v>0</v>
      </c>
      <c r="T108" s="25">
        <v>0</v>
      </c>
      <c r="U108" s="61">
        <v>0</v>
      </c>
      <c r="V108" s="58">
        <v>2.2499999999999999E-2</v>
      </c>
      <c r="W108" s="33">
        <v>2.1899999999999999E-2</v>
      </c>
      <c r="X108" s="12" t="s">
        <v>3926</v>
      </c>
      <c r="Y108" s="12" t="s">
        <v>3926</v>
      </c>
      <c r="Z108" s="12" t="s">
        <v>3926</v>
      </c>
      <c r="AA108" s="12" t="s">
        <v>3926</v>
      </c>
      <c r="AB108" s="25">
        <v>1</v>
      </c>
      <c r="AC108" s="25">
        <v>1</v>
      </c>
      <c r="AD108" s="25">
        <v>0</v>
      </c>
      <c r="AE108" s="25">
        <v>0</v>
      </c>
      <c r="AF108" s="25">
        <v>0</v>
      </c>
      <c r="AG108" s="25">
        <v>0</v>
      </c>
      <c r="AH108" s="25">
        <v>0</v>
      </c>
      <c r="AI108" s="12">
        <v>0</v>
      </c>
      <c r="AJ108" s="25">
        <v>17072</v>
      </c>
      <c r="AK108" s="25">
        <v>1295</v>
      </c>
      <c r="AL108" s="33">
        <v>8.2100000000000006E-2</v>
      </c>
      <c r="AM108" s="3" t="s">
        <v>2388</v>
      </c>
      <c r="AN108" s="12" t="s">
        <v>5249</v>
      </c>
      <c r="AO108" s="12"/>
      <c r="AP108" s="12" t="str">
        <f>"328165980711185"</f>
        <v>328165980711185</v>
      </c>
      <c r="AQ108" s="12" t="s">
        <v>587</v>
      </c>
      <c r="AR108" s="12"/>
      <c r="AS108" s="12" t="s">
        <v>588</v>
      </c>
      <c r="AT108" s="12"/>
      <c r="AU108" s="12" t="s">
        <v>309</v>
      </c>
      <c r="AV108" s="12"/>
      <c r="AW108" s="12"/>
      <c r="AX108" s="12">
        <v>0</v>
      </c>
      <c r="AY108" s="12">
        <v>6</v>
      </c>
      <c r="AZ108" s="12">
        <v>0</v>
      </c>
      <c r="BA108" s="12" t="s">
        <v>589</v>
      </c>
      <c r="BB108" s="12" t="s">
        <v>6408</v>
      </c>
      <c r="BC108" s="12" t="s">
        <v>6409</v>
      </c>
      <c r="BD108" s="12" t="s">
        <v>590</v>
      </c>
      <c r="BE108" s="12" t="s">
        <v>2291</v>
      </c>
      <c r="BF108" s="12"/>
      <c r="BG108" s="12"/>
      <c r="BH108" s="12"/>
      <c r="BI108" s="12"/>
      <c r="BJ108" s="12"/>
      <c r="BK108" s="12"/>
      <c r="BL108" s="12" t="s">
        <v>2292</v>
      </c>
      <c r="BM108" s="12" t="s">
        <v>2292</v>
      </c>
      <c r="BN108" s="12" t="s">
        <v>2292</v>
      </c>
      <c r="BO108" s="12" t="s">
        <v>2292</v>
      </c>
      <c r="BP108" s="12"/>
      <c r="BQ108" s="12"/>
      <c r="BR108" s="12"/>
      <c r="BS108" s="12"/>
      <c r="BT108" s="12"/>
      <c r="BU108" s="12"/>
      <c r="BV108" s="12"/>
      <c r="BW108" s="12" t="s">
        <v>591</v>
      </c>
      <c r="BX108" s="12"/>
      <c r="BY108" s="13" t="s">
        <v>313</v>
      </c>
      <c r="BZ108" s="13" t="s">
        <v>6170</v>
      </c>
      <c r="CA108" s="13" t="s">
        <v>6170</v>
      </c>
      <c r="CB108" s="13" t="s">
        <v>312</v>
      </c>
      <c r="CC108" s="13"/>
      <c r="CD108" s="13" t="s">
        <v>6198</v>
      </c>
      <c r="CE108" s="13"/>
      <c r="CF108" s="13"/>
    </row>
    <row r="109" spans="1:84" ht="18.600000000000001" customHeight="1" x14ac:dyDescent="0.25">
      <c r="A109" s="60" t="s">
        <v>33</v>
      </c>
      <c r="B109" s="2" t="s">
        <v>596</v>
      </c>
      <c r="C109" s="3" t="s">
        <v>2446</v>
      </c>
      <c r="D109" s="12" t="s">
        <v>594</v>
      </c>
      <c r="E109" s="12" t="s">
        <v>593</v>
      </c>
      <c r="F109" s="12" t="s">
        <v>4021</v>
      </c>
      <c r="G109" s="25">
        <v>22455</v>
      </c>
      <c r="H109" s="25">
        <v>15904</v>
      </c>
      <c r="I109" s="25">
        <v>2941</v>
      </c>
      <c r="J109" s="25">
        <v>2111</v>
      </c>
      <c r="K109" s="25">
        <v>34667</v>
      </c>
      <c r="L109" s="25">
        <v>27931</v>
      </c>
      <c r="M109" s="25">
        <v>62598</v>
      </c>
      <c r="N109" s="31">
        <v>0.55000000000000004</v>
      </c>
      <c r="O109" s="25">
        <v>0</v>
      </c>
      <c r="P109" s="25">
        <v>8459</v>
      </c>
      <c r="Q109" s="25">
        <v>1139</v>
      </c>
      <c r="R109" s="25">
        <v>55</v>
      </c>
      <c r="S109" s="25">
        <v>72</v>
      </c>
      <c r="T109" s="25">
        <v>217</v>
      </c>
      <c r="U109" s="61">
        <v>16</v>
      </c>
      <c r="V109" s="58">
        <v>6.7999999999999996E-3</v>
      </c>
      <c r="W109" s="33">
        <v>5.8999999999999999E-3</v>
      </c>
      <c r="X109" s="33">
        <v>4.1000000000000003E-3</v>
      </c>
      <c r="Y109" s="33">
        <v>3.8E-3</v>
      </c>
      <c r="Z109" s="33">
        <v>1.47E-2</v>
      </c>
      <c r="AA109" s="12" t="s">
        <v>3926</v>
      </c>
      <c r="AB109" s="25">
        <v>54</v>
      </c>
      <c r="AC109" s="25">
        <v>35</v>
      </c>
      <c r="AD109" s="25">
        <v>2</v>
      </c>
      <c r="AE109" s="25">
        <v>11</v>
      </c>
      <c r="AF109" s="25">
        <v>6</v>
      </c>
      <c r="AG109" s="25">
        <v>0</v>
      </c>
      <c r="AH109" s="25">
        <v>0</v>
      </c>
      <c r="AI109" s="12">
        <v>0.12</v>
      </c>
      <c r="AJ109" s="25">
        <v>81060</v>
      </c>
      <c r="AK109" s="25">
        <v>27784</v>
      </c>
      <c r="AL109" s="33">
        <v>0.52149999999999996</v>
      </c>
      <c r="AM109" s="3" t="s">
        <v>2446</v>
      </c>
      <c r="AN109" s="12" t="s">
        <v>593</v>
      </c>
      <c r="AO109" s="12" t="s">
        <v>593</v>
      </c>
      <c r="AP109" s="12" t="str">
        <f>"124256077730891"</f>
        <v>124256077730891</v>
      </c>
      <c r="AQ109" s="12" t="s">
        <v>594</v>
      </c>
      <c r="AR109" s="12"/>
      <c r="AS109" s="12" t="s">
        <v>3554</v>
      </c>
      <c r="AT109" s="12"/>
      <c r="AU109" s="12" t="s">
        <v>309</v>
      </c>
      <c r="AV109" s="12"/>
      <c r="AW109" s="12"/>
      <c r="AX109" s="12">
        <v>0</v>
      </c>
      <c r="AY109" s="12">
        <v>61</v>
      </c>
      <c r="AZ109" s="12">
        <v>0</v>
      </c>
      <c r="BA109" s="12" t="s">
        <v>595</v>
      </c>
      <c r="BB109" s="12"/>
      <c r="BC109" s="12" t="s">
        <v>6479</v>
      </c>
      <c r="BD109" s="12"/>
      <c r="BE109" s="12" t="s">
        <v>2291</v>
      </c>
      <c r="BF109" s="12"/>
      <c r="BG109" s="12"/>
      <c r="BH109" s="12"/>
      <c r="BI109" s="12"/>
      <c r="BJ109" s="12"/>
      <c r="BK109" s="12"/>
      <c r="BL109" s="12" t="s">
        <v>2292</v>
      </c>
      <c r="BM109" s="12" t="s">
        <v>2292</v>
      </c>
      <c r="BN109" s="12" t="s">
        <v>2292</v>
      </c>
      <c r="BO109" s="12" t="s">
        <v>2292</v>
      </c>
      <c r="BP109" s="12"/>
      <c r="BQ109" s="12"/>
      <c r="BR109" s="12"/>
      <c r="BS109" s="12"/>
      <c r="BT109" s="12"/>
      <c r="BU109" s="12"/>
      <c r="BV109" s="12"/>
      <c r="BW109" s="12"/>
      <c r="BX109" s="12"/>
      <c r="BY109" s="13" t="s">
        <v>313</v>
      </c>
      <c r="BZ109" s="13" t="s">
        <v>312</v>
      </c>
      <c r="CA109" s="13"/>
      <c r="CB109" s="13"/>
      <c r="CC109" s="13"/>
      <c r="CD109" s="13"/>
      <c r="CE109" s="13"/>
      <c r="CF109" s="13"/>
    </row>
    <row r="110" spans="1:84" ht="18.600000000000001" customHeight="1" x14ac:dyDescent="0.25">
      <c r="A110" s="60" t="s">
        <v>33</v>
      </c>
      <c r="B110" s="2" t="s">
        <v>314</v>
      </c>
      <c r="C110" s="3" t="s">
        <v>3709</v>
      </c>
      <c r="D110" s="12" t="s">
        <v>3345</v>
      </c>
      <c r="E110" s="12" t="s">
        <v>3438</v>
      </c>
      <c r="F110" s="12" t="s">
        <v>4238</v>
      </c>
      <c r="G110" s="25">
        <v>8930</v>
      </c>
      <c r="H110" s="25">
        <v>7300</v>
      </c>
      <c r="I110" s="25">
        <v>383</v>
      </c>
      <c r="J110" s="25">
        <v>970</v>
      </c>
      <c r="K110" s="25">
        <v>2641</v>
      </c>
      <c r="L110" s="25">
        <v>2109</v>
      </c>
      <c r="M110" s="25">
        <v>4750</v>
      </c>
      <c r="N110" s="31">
        <v>0.56000000000000005</v>
      </c>
      <c r="O110" s="25">
        <v>0</v>
      </c>
      <c r="P110" s="25">
        <v>2553</v>
      </c>
      <c r="Q110" s="25">
        <v>229</v>
      </c>
      <c r="R110" s="25">
        <v>5</v>
      </c>
      <c r="S110" s="25">
        <v>6</v>
      </c>
      <c r="T110" s="25">
        <v>35</v>
      </c>
      <c r="U110" s="61">
        <v>2</v>
      </c>
      <c r="V110" s="58">
        <v>8.0000000000000004E-4</v>
      </c>
      <c r="W110" s="33">
        <v>8.0000000000000004E-4</v>
      </c>
      <c r="X110" s="33">
        <v>2.9999999999999997E-4</v>
      </c>
      <c r="Y110" s="33">
        <v>5.9999999999999995E-4</v>
      </c>
      <c r="Z110" s="33">
        <v>1.6000000000000001E-3</v>
      </c>
      <c r="AA110" s="12" t="s">
        <v>3926</v>
      </c>
      <c r="AB110" s="25">
        <v>230</v>
      </c>
      <c r="AC110" s="25">
        <v>200</v>
      </c>
      <c r="AD110" s="25">
        <v>2</v>
      </c>
      <c r="AE110" s="25">
        <v>25</v>
      </c>
      <c r="AF110" s="25">
        <v>3</v>
      </c>
      <c r="AG110" s="25">
        <v>0</v>
      </c>
      <c r="AH110" s="25">
        <v>0</v>
      </c>
      <c r="AI110" s="12">
        <v>0.52</v>
      </c>
      <c r="AJ110" s="25">
        <v>47844</v>
      </c>
      <c r="AK110" s="25">
        <v>1633</v>
      </c>
      <c r="AL110" s="33">
        <v>3.5299999999999998E-2</v>
      </c>
      <c r="AM110" s="3" t="s">
        <v>3709</v>
      </c>
      <c r="AN110" s="12" t="s">
        <v>3438</v>
      </c>
      <c r="AO110" s="12" t="s">
        <v>3438</v>
      </c>
      <c r="AP110" s="12" t="str">
        <f>"778956725549126"</f>
        <v>778956725549126</v>
      </c>
      <c r="AQ110" s="12" t="s">
        <v>3345</v>
      </c>
      <c r="AR110" s="12" t="s">
        <v>3439</v>
      </c>
      <c r="AS110" s="12" t="s">
        <v>5939</v>
      </c>
      <c r="AT110" s="12"/>
      <c r="AU110" s="12" t="s">
        <v>324</v>
      </c>
      <c r="AV110" s="12" t="s">
        <v>5731</v>
      </c>
      <c r="AW110" s="12"/>
      <c r="AX110" s="12">
        <v>24</v>
      </c>
      <c r="AY110" s="12">
        <v>720</v>
      </c>
      <c r="AZ110" s="12">
        <v>24</v>
      </c>
      <c r="BA110" s="12" t="s">
        <v>3440</v>
      </c>
      <c r="BB110" s="12" t="s">
        <v>6974</v>
      </c>
      <c r="BC110" s="12" t="s">
        <v>6975</v>
      </c>
      <c r="BD110" s="12"/>
      <c r="BE110" s="12" t="s">
        <v>2291</v>
      </c>
      <c r="BF110" s="12"/>
      <c r="BG110" s="12"/>
      <c r="BH110" s="12"/>
      <c r="BI110" s="12"/>
      <c r="BJ110" s="12"/>
      <c r="BK110" s="12" t="s">
        <v>6448</v>
      </c>
      <c r="BL110" s="12" t="s">
        <v>2292</v>
      </c>
      <c r="BM110" s="12" t="s">
        <v>2292</v>
      </c>
      <c r="BN110" s="12" t="s">
        <v>2292</v>
      </c>
      <c r="BO110" s="12" t="s">
        <v>2292</v>
      </c>
      <c r="BP110" s="12"/>
      <c r="BQ110" s="12"/>
      <c r="BR110" s="12"/>
      <c r="BS110" s="12"/>
      <c r="BT110" s="12">
        <v>264612707400</v>
      </c>
      <c r="BU110" s="12" t="s">
        <v>326</v>
      </c>
      <c r="BV110" s="12"/>
      <c r="BW110" s="12" t="s">
        <v>3441</v>
      </c>
      <c r="BX110" s="12"/>
      <c r="BY110" s="13" t="s">
        <v>313</v>
      </c>
      <c r="BZ110" s="13" t="s">
        <v>6170</v>
      </c>
      <c r="CA110" s="13" t="s">
        <v>6170</v>
      </c>
      <c r="CB110" s="13" t="s">
        <v>312</v>
      </c>
      <c r="CC110" s="13"/>
      <c r="CD110" s="13" t="s">
        <v>6198</v>
      </c>
      <c r="CE110" s="13"/>
      <c r="CF110" s="13"/>
    </row>
    <row r="111" spans="1:84" ht="18.600000000000001" customHeight="1" x14ac:dyDescent="0.25">
      <c r="A111" s="60" t="s">
        <v>33</v>
      </c>
      <c r="B111" s="2" t="s">
        <v>335</v>
      </c>
      <c r="C111" s="3" t="s">
        <v>2490</v>
      </c>
      <c r="D111" s="12" t="s">
        <v>598</v>
      </c>
      <c r="E111" s="12" t="s">
        <v>597</v>
      </c>
      <c r="F111" s="12" t="s">
        <v>4052</v>
      </c>
      <c r="G111" s="25">
        <v>3835</v>
      </c>
      <c r="H111" s="25">
        <v>2952</v>
      </c>
      <c r="I111" s="25">
        <v>261</v>
      </c>
      <c r="J111" s="25">
        <v>446</v>
      </c>
      <c r="K111" s="25">
        <v>241</v>
      </c>
      <c r="L111" s="25">
        <v>53</v>
      </c>
      <c r="M111" s="25">
        <v>294</v>
      </c>
      <c r="N111" s="31">
        <v>0.82</v>
      </c>
      <c r="O111" s="25">
        <v>0</v>
      </c>
      <c r="P111" s="25">
        <v>0</v>
      </c>
      <c r="Q111" s="25">
        <v>168</v>
      </c>
      <c r="R111" s="25">
        <v>4</v>
      </c>
      <c r="S111" s="25">
        <v>3</v>
      </c>
      <c r="T111" s="25">
        <v>1</v>
      </c>
      <c r="U111" s="61">
        <v>0</v>
      </c>
      <c r="V111" s="58">
        <v>4.8999999999999998E-3</v>
      </c>
      <c r="W111" s="33">
        <v>4.8999999999999998E-3</v>
      </c>
      <c r="X111" s="33">
        <v>2.3999999999999998E-3</v>
      </c>
      <c r="Y111" s="33">
        <v>4.1999999999999997E-3</v>
      </c>
      <c r="Z111" s="33">
        <v>1.4E-3</v>
      </c>
      <c r="AA111" s="12" t="s">
        <v>3926</v>
      </c>
      <c r="AB111" s="25">
        <v>135</v>
      </c>
      <c r="AC111" s="25">
        <v>126</v>
      </c>
      <c r="AD111" s="25">
        <v>3</v>
      </c>
      <c r="AE111" s="25">
        <v>5</v>
      </c>
      <c r="AF111" s="25">
        <v>1</v>
      </c>
      <c r="AG111" s="25">
        <v>0</v>
      </c>
      <c r="AH111" s="25">
        <v>0</v>
      </c>
      <c r="AI111" s="12">
        <v>0.31</v>
      </c>
      <c r="AJ111" s="25">
        <v>6520</v>
      </c>
      <c r="AK111" s="25">
        <v>1299</v>
      </c>
      <c r="AL111" s="33">
        <v>0.24879999999999999</v>
      </c>
      <c r="AM111" s="3" t="s">
        <v>2490</v>
      </c>
      <c r="AN111" s="12" t="s">
        <v>597</v>
      </c>
      <c r="AO111" s="12" t="s">
        <v>597</v>
      </c>
      <c r="AP111" s="12" t="str">
        <f>"295684780534218"</f>
        <v>295684780534218</v>
      </c>
      <c r="AQ111" s="12" t="s">
        <v>598</v>
      </c>
      <c r="AR111" s="12" t="s">
        <v>599</v>
      </c>
      <c r="AS111" s="12" t="s">
        <v>2491</v>
      </c>
      <c r="AT111" s="12"/>
      <c r="AU111" s="12" t="s">
        <v>324</v>
      </c>
      <c r="AV111" s="12" t="s">
        <v>5823</v>
      </c>
      <c r="AW111" s="12"/>
      <c r="AX111" s="12">
        <v>412</v>
      </c>
      <c r="AY111" s="12">
        <v>167</v>
      </c>
      <c r="AZ111" s="12">
        <v>412</v>
      </c>
      <c r="BA111" s="12" t="s">
        <v>600</v>
      </c>
      <c r="BB111" s="12" t="s">
        <v>6550</v>
      </c>
      <c r="BC111" s="12" t="s">
        <v>6551</v>
      </c>
      <c r="BD111" s="12"/>
      <c r="BE111" s="12" t="s">
        <v>2291</v>
      </c>
      <c r="BF111" s="12"/>
      <c r="BG111" s="12"/>
      <c r="BH111" s="12"/>
      <c r="BI111" s="12" t="s">
        <v>2492</v>
      </c>
      <c r="BJ111" s="12"/>
      <c r="BK111" s="12"/>
      <c r="BL111" s="12" t="s">
        <v>2292</v>
      </c>
      <c r="BM111" s="12" t="s">
        <v>2292</v>
      </c>
      <c r="BN111" s="12" t="s">
        <v>2292</v>
      </c>
      <c r="BO111" s="12" t="s">
        <v>2292</v>
      </c>
      <c r="BP111" s="12"/>
      <c r="BQ111" s="12"/>
      <c r="BR111" s="12"/>
      <c r="BS111" s="12"/>
      <c r="BT111" s="12" t="s">
        <v>2493</v>
      </c>
      <c r="BU111" s="12" t="s">
        <v>326</v>
      </c>
      <c r="BV111" s="12"/>
      <c r="BW111" s="12" t="s">
        <v>601</v>
      </c>
      <c r="BX111" s="12"/>
      <c r="BY111" s="13" t="s">
        <v>313</v>
      </c>
      <c r="BZ111" s="13" t="s">
        <v>6170</v>
      </c>
      <c r="CA111" s="13" t="s">
        <v>6170</v>
      </c>
      <c r="CB111" s="13" t="s">
        <v>312</v>
      </c>
      <c r="CC111" s="13"/>
      <c r="CD111" s="13" t="s">
        <v>6198</v>
      </c>
      <c r="CE111" s="13"/>
      <c r="CF111" s="13"/>
    </row>
    <row r="112" spans="1:84" ht="18.600000000000001" customHeight="1" x14ac:dyDescent="0.25">
      <c r="A112" s="60" t="s">
        <v>34</v>
      </c>
      <c r="B112" s="2" t="s">
        <v>2286</v>
      </c>
      <c r="C112" s="3" t="s">
        <v>3174</v>
      </c>
      <c r="D112" s="12" t="s">
        <v>2285</v>
      </c>
      <c r="E112" s="12" t="s">
        <v>3203</v>
      </c>
      <c r="F112" s="12" t="s">
        <v>4159</v>
      </c>
      <c r="G112" s="25">
        <v>234118</v>
      </c>
      <c r="H112" s="25">
        <v>199996</v>
      </c>
      <c r="I112" s="25">
        <v>11925</v>
      </c>
      <c r="J112" s="25">
        <v>19455</v>
      </c>
      <c r="K112" s="25">
        <v>58449</v>
      </c>
      <c r="L112" s="25">
        <v>14073</v>
      </c>
      <c r="M112" s="25">
        <v>72522</v>
      </c>
      <c r="N112" s="31">
        <v>0.81</v>
      </c>
      <c r="O112" s="25">
        <v>2367</v>
      </c>
      <c r="P112" s="25">
        <v>0</v>
      </c>
      <c r="Q112" s="25">
        <v>1935</v>
      </c>
      <c r="R112" s="25">
        <v>164</v>
      </c>
      <c r="S112" s="25">
        <v>231</v>
      </c>
      <c r="T112" s="25">
        <v>232</v>
      </c>
      <c r="U112" s="61">
        <v>178</v>
      </c>
      <c r="V112" s="58">
        <v>4.5999999999999999E-3</v>
      </c>
      <c r="W112" s="33">
        <v>5.4999999999999997E-3</v>
      </c>
      <c r="X112" s="33">
        <v>3.3E-3</v>
      </c>
      <c r="Y112" s="33">
        <v>4.8999999999999998E-3</v>
      </c>
      <c r="Z112" s="33">
        <v>6.4000000000000003E-3</v>
      </c>
      <c r="AA112" s="33">
        <v>1.1999999999999999E-3</v>
      </c>
      <c r="AB112" s="25">
        <v>196</v>
      </c>
      <c r="AC112" s="25">
        <v>114</v>
      </c>
      <c r="AD112" s="25">
        <v>64</v>
      </c>
      <c r="AE112" s="25">
        <v>10</v>
      </c>
      <c r="AF112" s="25">
        <v>3</v>
      </c>
      <c r="AG112" s="25">
        <v>2</v>
      </c>
      <c r="AH112" s="25">
        <v>3</v>
      </c>
      <c r="AI112" s="12">
        <v>0.45</v>
      </c>
      <c r="AJ112" s="25">
        <v>260841</v>
      </c>
      <c r="AK112" s="25">
        <v>8994</v>
      </c>
      <c r="AL112" s="33">
        <v>3.5700000000000003E-2</v>
      </c>
      <c r="AM112" s="3" t="s">
        <v>3174</v>
      </c>
      <c r="AN112" s="12" t="s">
        <v>3203</v>
      </c>
      <c r="AO112" s="12" t="s">
        <v>3203</v>
      </c>
      <c r="AP112" s="12" t="str">
        <f>"335093592325"</f>
        <v>335093592325</v>
      </c>
      <c r="AQ112" s="12" t="s">
        <v>2285</v>
      </c>
      <c r="AR112" s="12" t="s">
        <v>604</v>
      </c>
      <c r="AS112" s="12" t="s">
        <v>3204</v>
      </c>
      <c r="AT112" s="12" t="s">
        <v>3205</v>
      </c>
      <c r="AU112" s="12" t="s">
        <v>319</v>
      </c>
      <c r="AV112" s="12"/>
      <c r="AW112" s="12"/>
      <c r="AX112" s="12">
        <v>0</v>
      </c>
      <c r="AY112" s="12">
        <v>5214</v>
      </c>
      <c r="AZ112" s="12">
        <v>0</v>
      </c>
      <c r="BA112" s="12" t="s">
        <v>3206</v>
      </c>
      <c r="BB112" s="12" t="s">
        <v>6787</v>
      </c>
      <c r="BC112" s="12" t="s">
        <v>6788</v>
      </c>
      <c r="BD112" s="12" t="s">
        <v>3207</v>
      </c>
      <c r="BE112" s="12" t="s">
        <v>2291</v>
      </c>
      <c r="BF112" s="12"/>
      <c r="BG112" s="12"/>
      <c r="BH112" s="12"/>
      <c r="BI112" s="12"/>
      <c r="BJ112" s="12"/>
      <c r="BK112" s="12"/>
      <c r="BL112" s="12" t="s">
        <v>2292</v>
      </c>
      <c r="BM112" s="12" t="s">
        <v>2292</v>
      </c>
      <c r="BN112" s="12" t="s">
        <v>2292</v>
      </c>
      <c r="BO112" s="12" t="s">
        <v>2292</v>
      </c>
      <c r="BP112" s="12"/>
      <c r="BQ112" s="12"/>
      <c r="BR112" s="12"/>
      <c r="BS112" s="12"/>
      <c r="BT112" s="12"/>
      <c r="BU112" s="12"/>
      <c r="BV112" s="12"/>
      <c r="BW112" s="12" t="s">
        <v>3208</v>
      </c>
      <c r="BX112" s="12"/>
      <c r="BY112" s="13" t="s">
        <v>313</v>
      </c>
      <c r="BZ112" s="13" t="s">
        <v>6170</v>
      </c>
      <c r="CA112" s="13" t="s">
        <v>6170</v>
      </c>
      <c r="CB112" s="13" t="s">
        <v>312</v>
      </c>
      <c r="CC112" s="13"/>
      <c r="CD112" s="13" t="s">
        <v>6198</v>
      </c>
      <c r="CE112" s="13"/>
      <c r="CF112" s="13"/>
    </row>
    <row r="113" spans="1:2328" ht="18.600000000000001" customHeight="1" x14ac:dyDescent="0.25">
      <c r="A113" s="60" t="s">
        <v>34</v>
      </c>
      <c r="B113" s="2" t="s">
        <v>314</v>
      </c>
      <c r="C113" s="3" t="s">
        <v>2865</v>
      </c>
      <c r="D113" s="12" t="s">
        <v>603</v>
      </c>
      <c r="E113" s="12" t="s">
        <v>602</v>
      </c>
      <c r="F113" s="12" t="s">
        <v>4283</v>
      </c>
      <c r="G113" s="25">
        <v>45090</v>
      </c>
      <c r="H113" s="25">
        <v>35861</v>
      </c>
      <c r="I113" s="25">
        <v>1347</v>
      </c>
      <c r="J113" s="25">
        <v>7305</v>
      </c>
      <c r="K113" s="25">
        <v>97364</v>
      </c>
      <c r="L113" s="25">
        <v>47399</v>
      </c>
      <c r="M113" s="25">
        <v>144763</v>
      </c>
      <c r="N113" s="31">
        <v>0.67</v>
      </c>
      <c r="O113" s="25">
        <v>1481</v>
      </c>
      <c r="P113" s="25">
        <v>0</v>
      </c>
      <c r="Q113" s="25">
        <v>396</v>
      </c>
      <c r="R113" s="25">
        <v>34</v>
      </c>
      <c r="S113" s="25">
        <v>42</v>
      </c>
      <c r="T113" s="25">
        <v>57</v>
      </c>
      <c r="U113" s="61">
        <v>48</v>
      </c>
      <c r="V113" s="58">
        <v>8.0000000000000002E-3</v>
      </c>
      <c r="W113" s="33">
        <v>8.8000000000000005E-3</v>
      </c>
      <c r="X113" s="33">
        <v>6.7999999999999996E-3</v>
      </c>
      <c r="Y113" s="33">
        <v>3.8E-3</v>
      </c>
      <c r="Z113" s="33">
        <v>2.2499999999999999E-2</v>
      </c>
      <c r="AA113" s="33">
        <v>6.0000000000000001E-3</v>
      </c>
      <c r="AB113" s="25">
        <v>321</v>
      </c>
      <c r="AC113" s="25">
        <v>103</v>
      </c>
      <c r="AD113" s="25">
        <v>194</v>
      </c>
      <c r="AE113" s="25">
        <v>2</v>
      </c>
      <c r="AF113" s="25">
        <v>14</v>
      </c>
      <c r="AG113" s="25">
        <v>3</v>
      </c>
      <c r="AH113" s="25">
        <v>5</v>
      </c>
      <c r="AI113" s="12">
        <v>0.73</v>
      </c>
      <c r="AJ113" s="25">
        <v>21807</v>
      </c>
      <c r="AK113" s="25">
        <v>8804</v>
      </c>
      <c r="AL113" s="33">
        <v>0.67710000000000004</v>
      </c>
      <c r="AM113" s="3" t="s">
        <v>2865</v>
      </c>
      <c r="AN113" s="12" t="s">
        <v>602</v>
      </c>
      <c r="AO113" s="12" t="s">
        <v>602</v>
      </c>
      <c r="AP113" s="12" t="str">
        <f>"1490966641178782"</f>
        <v>1490966641178782</v>
      </c>
      <c r="AQ113" s="12" t="s">
        <v>603</v>
      </c>
      <c r="AR113" s="12" t="s">
        <v>604</v>
      </c>
      <c r="AS113" s="12" t="s">
        <v>605</v>
      </c>
      <c r="AT113" s="12"/>
      <c r="AU113" s="12" t="s">
        <v>358</v>
      </c>
      <c r="AV113" s="12" t="s">
        <v>5976</v>
      </c>
      <c r="AW113" s="12" t="s">
        <v>606</v>
      </c>
      <c r="AX113" s="12">
        <v>5558</v>
      </c>
      <c r="AY113" s="12">
        <v>3299</v>
      </c>
      <c r="AZ113" s="12">
        <v>5558</v>
      </c>
      <c r="BA113" s="12" t="s">
        <v>607</v>
      </c>
      <c r="BB113" s="12" t="s">
        <v>7065</v>
      </c>
      <c r="BC113" s="12" t="s">
        <v>7066</v>
      </c>
      <c r="BD113" s="12"/>
      <c r="BE113" s="12" t="s">
        <v>2291</v>
      </c>
      <c r="BF113" s="12"/>
      <c r="BG113" s="12"/>
      <c r="BH113" s="12"/>
      <c r="BI113" s="12"/>
      <c r="BJ113" s="12" t="s">
        <v>608</v>
      </c>
      <c r="BK113" s="12"/>
      <c r="BL113" s="12" t="s">
        <v>2292</v>
      </c>
      <c r="BM113" s="12" t="s">
        <v>2292</v>
      </c>
      <c r="BN113" s="12" t="s">
        <v>2292</v>
      </c>
      <c r="BO113" s="12" t="s">
        <v>2292</v>
      </c>
      <c r="BP113" s="12" t="s">
        <v>609</v>
      </c>
      <c r="BQ113" s="12"/>
      <c r="BR113" s="12"/>
      <c r="BS113" s="12"/>
      <c r="BT113" s="12"/>
      <c r="BU113" s="12" t="s">
        <v>3750</v>
      </c>
      <c r="BV113" s="12"/>
      <c r="BW113" s="12" t="s">
        <v>610</v>
      </c>
      <c r="BX113" s="12"/>
      <c r="BY113" s="13" t="s">
        <v>313</v>
      </c>
      <c r="BZ113" s="13" t="s">
        <v>6172</v>
      </c>
      <c r="CA113" s="13" t="s">
        <v>6170</v>
      </c>
      <c r="CB113" s="13" t="s">
        <v>312</v>
      </c>
      <c r="CC113" s="13"/>
      <c r="CD113" s="13" t="s">
        <v>6198</v>
      </c>
      <c r="CE113" s="13"/>
      <c r="CF113" s="13"/>
    </row>
    <row r="114" spans="1:2328" ht="18.600000000000001" customHeight="1" x14ac:dyDescent="0.25">
      <c r="A114" s="60" t="s">
        <v>35</v>
      </c>
      <c r="B114" s="2" t="s">
        <v>614</v>
      </c>
      <c r="C114" s="3" t="s">
        <v>2800</v>
      </c>
      <c r="D114" s="12" t="s">
        <v>611</v>
      </c>
      <c r="E114" s="12" t="s">
        <v>612</v>
      </c>
      <c r="F114" s="12" t="s">
        <v>4229</v>
      </c>
      <c r="G114" s="25">
        <v>911988</v>
      </c>
      <c r="H114" s="25">
        <v>574391</v>
      </c>
      <c r="I114" s="25">
        <v>100706</v>
      </c>
      <c r="J114" s="25">
        <v>209621</v>
      </c>
      <c r="K114" s="25">
        <v>310292</v>
      </c>
      <c r="L114" s="25">
        <v>285243</v>
      </c>
      <c r="M114" s="25">
        <v>595535</v>
      </c>
      <c r="N114" s="31">
        <v>0.52</v>
      </c>
      <c r="O114" s="25">
        <v>38241</v>
      </c>
      <c r="P114" s="25">
        <v>0</v>
      </c>
      <c r="Q114" s="25">
        <v>18052</v>
      </c>
      <c r="R114" s="25">
        <v>1328</v>
      </c>
      <c r="S114" s="25">
        <v>3103</v>
      </c>
      <c r="T114" s="25">
        <v>2814</v>
      </c>
      <c r="U114" s="61">
        <v>1937</v>
      </c>
      <c r="V114" s="58">
        <v>9.4999999999999998E-3</v>
      </c>
      <c r="W114" s="33">
        <v>1.23E-2</v>
      </c>
      <c r="X114" s="33">
        <v>2.3999999999999998E-3</v>
      </c>
      <c r="Y114" s="33">
        <v>9.4000000000000004E-3</v>
      </c>
      <c r="Z114" s="33">
        <v>7.6E-3</v>
      </c>
      <c r="AA114" s="12" t="s">
        <v>3926</v>
      </c>
      <c r="AB114" s="25">
        <v>176</v>
      </c>
      <c r="AC114" s="25">
        <v>97</v>
      </c>
      <c r="AD114" s="25">
        <v>13</v>
      </c>
      <c r="AE114" s="25">
        <v>48</v>
      </c>
      <c r="AF114" s="25">
        <v>13</v>
      </c>
      <c r="AG114" s="25">
        <v>5</v>
      </c>
      <c r="AH114" s="25">
        <v>0</v>
      </c>
      <c r="AI114" s="12">
        <v>0.4</v>
      </c>
      <c r="AJ114" s="25">
        <v>704981</v>
      </c>
      <c r="AK114" s="25">
        <v>389841</v>
      </c>
      <c r="AL114" s="33">
        <v>1.2370000000000001</v>
      </c>
      <c r="AM114" s="3" t="s">
        <v>2800</v>
      </c>
      <c r="AN114" s="12" t="s">
        <v>612</v>
      </c>
      <c r="AO114" s="12" t="s">
        <v>612</v>
      </c>
      <c r="AP114" s="12" t="str">
        <f>"1528952840718244"</f>
        <v>1528952840718244</v>
      </c>
      <c r="AQ114" s="12" t="s">
        <v>611</v>
      </c>
      <c r="AR114" s="12" t="s">
        <v>4612</v>
      </c>
      <c r="AS114" s="12" t="s">
        <v>3641</v>
      </c>
      <c r="AT114" s="12"/>
      <c r="AU114" s="12" t="s">
        <v>309</v>
      </c>
      <c r="AV114" s="12"/>
      <c r="AW114" s="12"/>
      <c r="AX114" s="12">
        <v>0</v>
      </c>
      <c r="AY114" s="12">
        <v>17313</v>
      </c>
      <c r="AZ114" s="12">
        <v>0</v>
      </c>
      <c r="BA114" s="12" t="s">
        <v>613</v>
      </c>
      <c r="BB114" s="12"/>
      <c r="BC114" s="12" t="s">
        <v>6964</v>
      </c>
      <c r="BD114" s="12"/>
      <c r="BE114" s="12" t="s">
        <v>2291</v>
      </c>
      <c r="BF114" s="12"/>
      <c r="BG114" s="12"/>
      <c r="BH114" s="12"/>
      <c r="BI114" s="12"/>
      <c r="BJ114" s="12"/>
      <c r="BK114" s="12"/>
      <c r="BL114" s="12" t="s">
        <v>2292</v>
      </c>
      <c r="BM114" s="12" t="s">
        <v>2292</v>
      </c>
      <c r="BN114" s="12" t="s">
        <v>2292</v>
      </c>
      <c r="BO114" s="12" t="s">
        <v>2291</v>
      </c>
      <c r="BP114" s="12"/>
      <c r="BQ114" s="12"/>
      <c r="BR114" s="12"/>
      <c r="BS114" s="12"/>
      <c r="BT114" s="12"/>
      <c r="BU114" s="12"/>
      <c r="BV114" s="12"/>
      <c r="BW114" s="12"/>
      <c r="BX114" s="12"/>
      <c r="BY114" s="13" t="s">
        <v>313</v>
      </c>
      <c r="BZ114" s="13" t="s">
        <v>312</v>
      </c>
      <c r="CA114" s="13"/>
      <c r="CB114" s="13"/>
      <c r="CC114" s="13"/>
      <c r="CD114" s="13"/>
      <c r="CE114" s="13"/>
      <c r="CF114" s="13"/>
    </row>
    <row r="115" spans="1:2328" ht="18.600000000000001" customHeight="1" x14ac:dyDescent="0.25">
      <c r="A115" s="60" t="s">
        <v>35</v>
      </c>
      <c r="B115" s="2" t="s">
        <v>614</v>
      </c>
      <c r="C115" s="3" t="s">
        <v>3134</v>
      </c>
      <c r="D115" s="12" t="s">
        <v>614</v>
      </c>
      <c r="E115" s="12" t="s">
        <v>615</v>
      </c>
      <c r="F115" s="12" t="s">
        <v>4345</v>
      </c>
      <c r="G115" s="25">
        <v>0</v>
      </c>
      <c r="H115" s="25">
        <v>0</v>
      </c>
      <c r="I115" s="25">
        <v>0</v>
      </c>
      <c r="J115" s="25">
        <v>0</v>
      </c>
      <c r="K115" s="25">
        <v>0</v>
      </c>
      <c r="L115" s="25">
        <v>0</v>
      </c>
      <c r="M115" s="25">
        <v>0</v>
      </c>
      <c r="N115" s="31">
        <v>0</v>
      </c>
      <c r="O115" s="25">
        <v>0</v>
      </c>
      <c r="P115" s="25">
        <v>0</v>
      </c>
      <c r="Q115" s="25">
        <v>0</v>
      </c>
      <c r="R115" s="25">
        <v>0</v>
      </c>
      <c r="S115" s="25">
        <v>0</v>
      </c>
      <c r="T115" s="25">
        <v>0</v>
      </c>
      <c r="U115" s="61">
        <v>0</v>
      </c>
      <c r="V115" s="59"/>
      <c r="W115" s="12" t="s">
        <v>3926</v>
      </c>
      <c r="X115" s="12" t="s">
        <v>3926</v>
      </c>
      <c r="Y115" s="12" t="s">
        <v>3926</v>
      </c>
      <c r="Z115" s="12" t="s">
        <v>3926</v>
      </c>
      <c r="AA115" s="12" t="s">
        <v>3926</v>
      </c>
      <c r="AB115" s="25" t="s">
        <v>3927</v>
      </c>
      <c r="AC115" s="25">
        <v>0</v>
      </c>
      <c r="AD115" s="25">
        <v>0</v>
      </c>
      <c r="AE115" s="25">
        <v>0</v>
      </c>
      <c r="AF115" s="25">
        <v>0</v>
      </c>
      <c r="AG115" s="25">
        <v>0</v>
      </c>
      <c r="AH115" s="25">
        <v>0</v>
      </c>
      <c r="AI115" s="12">
        <v>0</v>
      </c>
      <c r="AJ115" s="25">
        <v>6979</v>
      </c>
      <c r="AK115" s="25">
        <v>864</v>
      </c>
      <c r="AL115" s="33">
        <v>0.14130000000000001</v>
      </c>
      <c r="AM115" s="3" t="s">
        <v>3134</v>
      </c>
      <c r="AN115" s="12" t="s">
        <v>615</v>
      </c>
      <c r="AO115" s="12" t="s">
        <v>615</v>
      </c>
      <c r="AP115" s="12" t="str">
        <f>"1569360143353045"</f>
        <v>1569360143353045</v>
      </c>
      <c r="AQ115" s="12" t="s">
        <v>614</v>
      </c>
      <c r="AR115" s="12"/>
      <c r="AS115" s="12" t="s">
        <v>616</v>
      </c>
      <c r="AT115" s="12"/>
      <c r="AU115" s="12" t="s">
        <v>319</v>
      </c>
      <c r="AV115" s="12"/>
      <c r="AW115" s="12"/>
      <c r="AX115" s="12">
        <v>0</v>
      </c>
      <c r="AY115" s="12">
        <v>22</v>
      </c>
      <c r="AZ115" s="12">
        <v>0</v>
      </c>
      <c r="BA115" s="12" t="s">
        <v>617</v>
      </c>
      <c r="BB115" s="12"/>
      <c r="BC115" s="12" t="s">
        <v>7205</v>
      </c>
      <c r="BD115" s="12"/>
      <c r="BE115" s="12" t="s">
        <v>2291</v>
      </c>
      <c r="BF115" s="12"/>
      <c r="BG115" s="12"/>
      <c r="BH115" s="12"/>
      <c r="BI115" s="12"/>
      <c r="BJ115" s="12"/>
      <c r="BK115" s="12"/>
      <c r="BL115" s="12" t="s">
        <v>2292</v>
      </c>
      <c r="BM115" s="12" t="s">
        <v>2292</v>
      </c>
      <c r="BN115" s="12" t="s">
        <v>2292</v>
      </c>
      <c r="BO115" s="12" t="s">
        <v>2292</v>
      </c>
      <c r="BP115" s="12"/>
      <c r="BQ115" s="12"/>
      <c r="BR115" s="12"/>
      <c r="BS115" s="12"/>
      <c r="BT115" s="12"/>
      <c r="BU115" s="12"/>
      <c r="BV115" s="12"/>
      <c r="BW115" s="12"/>
      <c r="BX115" s="12"/>
      <c r="BY115" s="18" t="s">
        <v>344</v>
      </c>
      <c r="BZ115" s="13" t="s">
        <v>6170</v>
      </c>
      <c r="CA115" s="13" t="s">
        <v>6170</v>
      </c>
      <c r="CB115" s="13" t="s">
        <v>312</v>
      </c>
      <c r="CC115" s="13"/>
      <c r="CD115" s="13" t="s">
        <v>6198</v>
      </c>
      <c r="CE115" s="13"/>
      <c r="CF115" s="13"/>
    </row>
    <row r="116" spans="1:2328" ht="18.600000000000001" customHeight="1" x14ac:dyDescent="0.25">
      <c r="A116" s="60" t="s">
        <v>35</v>
      </c>
      <c r="B116" s="2" t="s">
        <v>314</v>
      </c>
      <c r="C116" s="10" t="s">
        <v>4870</v>
      </c>
      <c r="D116" s="12" t="s">
        <v>4875</v>
      </c>
      <c r="E116" s="12" t="s">
        <v>4871</v>
      </c>
      <c r="F116" s="12" t="s">
        <v>4876</v>
      </c>
      <c r="G116" s="25">
        <v>465773</v>
      </c>
      <c r="H116" s="25">
        <v>267688</v>
      </c>
      <c r="I116" s="25">
        <v>26590</v>
      </c>
      <c r="J116" s="25">
        <v>162216</v>
      </c>
      <c r="K116" s="25">
        <v>1315302</v>
      </c>
      <c r="L116" s="25">
        <v>857087</v>
      </c>
      <c r="M116" s="25">
        <v>2172389</v>
      </c>
      <c r="N116" s="31">
        <v>0.61</v>
      </c>
      <c r="O116" s="25">
        <v>3337</v>
      </c>
      <c r="P116" s="25">
        <v>51692</v>
      </c>
      <c r="Q116" s="25">
        <v>7249</v>
      </c>
      <c r="R116" s="25">
        <v>512</v>
      </c>
      <c r="S116" s="25">
        <v>776</v>
      </c>
      <c r="T116" s="25">
        <v>300</v>
      </c>
      <c r="U116" s="61">
        <v>413</v>
      </c>
      <c r="V116" s="58">
        <v>2.2000000000000001E-3</v>
      </c>
      <c r="W116" s="33">
        <v>2.5999999999999999E-3</v>
      </c>
      <c r="X116" s="33">
        <v>1.1000000000000001E-3</v>
      </c>
      <c r="Y116" s="33">
        <v>1.6000000000000001E-3</v>
      </c>
      <c r="Z116" s="33">
        <v>3.2000000000000002E-3</v>
      </c>
      <c r="AA116" s="33">
        <v>1.6000000000000001E-3</v>
      </c>
      <c r="AB116" s="25">
        <v>2468</v>
      </c>
      <c r="AC116" s="25">
        <v>1285</v>
      </c>
      <c r="AD116" s="25">
        <v>157</v>
      </c>
      <c r="AE116" s="25">
        <v>608</v>
      </c>
      <c r="AF116" s="25">
        <v>392</v>
      </c>
      <c r="AG116" s="25">
        <v>7</v>
      </c>
      <c r="AH116" s="25">
        <v>19</v>
      </c>
      <c r="AI116" s="12">
        <v>5.62</v>
      </c>
      <c r="AJ116" s="25">
        <v>125602</v>
      </c>
      <c r="AK116" s="25">
        <v>94686</v>
      </c>
      <c r="AL116" s="33">
        <v>3.0627</v>
      </c>
      <c r="AM116" s="10" t="s">
        <v>4870</v>
      </c>
      <c r="AN116" s="12" t="s">
        <v>4871</v>
      </c>
      <c r="AO116" s="12" t="s">
        <v>4871</v>
      </c>
      <c r="AP116" s="12" t="str">
        <f>"448436902013711"</f>
        <v>448436902013711</v>
      </c>
      <c r="AQ116" s="12" t="s">
        <v>4875</v>
      </c>
      <c r="AR116" s="12" t="s">
        <v>6034</v>
      </c>
      <c r="AS116" s="12" t="s">
        <v>4925</v>
      </c>
      <c r="AT116" s="12"/>
      <c r="AU116" s="12" t="s">
        <v>324</v>
      </c>
      <c r="AV116" s="12" t="s">
        <v>5731</v>
      </c>
      <c r="AW116" s="12"/>
      <c r="AX116" s="12">
        <v>21425</v>
      </c>
      <c r="AY116" s="12">
        <v>11122</v>
      </c>
      <c r="AZ116" s="12">
        <v>0</v>
      </c>
      <c r="BA116" s="12" t="s">
        <v>4878</v>
      </c>
      <c r="BB116" s="12" t="s">
        <v>7296</v>
      </c>
      <c r="BC116" s="12" t="s">
        <v>7297</v>
      </c>
      <c r="BD116" s="12"/>
      <c r="BE116" s="12" t="s">
        <v>2291</v>
      </c>
      <c r="BF116" s="12"/>
      <c r="BG116" s="12"/>
      <c r="BH116" s="12"/>
      <c r="BI116" s="12" t="s">
        <v>4926</v>
      </c>
      <c r="BJ116" s="12"/>
      <c r="BK116" s="12"/>
      <c r="BL116" s="12" t="s">
        <v>2292</v>
      </c>
      <c r="BM116" s="12" t="s">
        <v>2292</v>
      </c>
      <c r="BN116" s="12" t="s">
        <v>2292</v>
      </c>
      <c r="BO116" s="12" t="s">
        <v>2291</v>
      </c>
      <c r="BP116" s="12"/>
      <c r="BQ116" s="12"/>
      <c r="BR116" s="12"/>
      <c r="BS116" s="12"/>
      <c r="BT116" s="12"/>
      <c r="BU116" s="12" t="s">
        <v>326</v>
      </c>
      <c r="BV116" s="12"/>
      <c r="BW116" s="12" t="s">
        <v>4927</v>
      </c>
      <c r="BX116" s="12"/>
      <c r="BY116" s="13" t="s">
        <v>313</v>
      </c>
      <c r="BZ116" s="13" t="s">
        <v>6171</v>
      </c>
      <c r="CA116" s="13"/>
      <c r="CB116" s="13"/>
      <c r="CC116" s="13"/>
      <c r="CD116" s="13"/>
      <c r="CE116" s="13"/>
      <c r="CF116" s="13"/>
    </row>
    <row r="117" spans="1:2328" ht="18.600000000000001" customHeight="1" x14ac:dyDescent="0.25">
      <c r="A117" s="60" t="s">
        <v>35</v>
      </c>
      <c r="B117" s="2" t="s">
        <v>335</v>
      </c>
      <c r="C117" s="3" t="s">
        <v>3891</v>
      </c>
      <c r="D117" s="12" t="s">
        <v>618</v>
      </c>
      <c r="E117" s="12" t="s">
        <v>3697</v>
      </c>
      <c r="F117" s="12" t="s">
        <v>4431</v>
      </c>
      <c r="G117" s="25">
        <v>723</v>
      </c>
      <c r="H117" s="25">
        <v>608</v>
      </c>
      <c r="I117" s="25">
        <v>27</v>
      </c>
      <c r="J117" s="25">
        <v>80</v>
      </c>
      <c r="K117" s="25">
        <v>0</v>
      </c>
      <c r="L117" s="25">
        <v>0</v>
      </c>
      <c r="M117" s="25">
        <v>0</v>
      </c>
      <c r="N117" s="31">
        <v>0</v>
      </c>
      <c r="O117" s="25">
        <v>0</v>
      </c>
      <c r="P117" s="25">
        <v>0</v>
      </c>
      <c r="Q117" s="25">
        <v>7</v>
      </c>
      <c r="R117" s="25">
        <v>0</v>
      </c>
      <c r="S117" s="25">
        <v>0</v>
      </c>
      <c r="T117" s="25">
        <v>1</v>
      </c>
      <c r="U117" s="61">
        <v>0</v>
      </c>
      <c r="V117" s="58">
        <v>8.0000000000000004E-4</v>
      </c>
      <c r="W117" s="12" t="s">
        <v>3926</v>
      </c>
      <c r="X117" s="33">
        <v>1.1000000000000001E-3</v>
      </c>
      <c r="Y117" s="33">
        <v>4.0000000000000002E-4</v>
      </c>
      <c r="Z117" s="12" t="s">
        <v>3926</v>
      </c>
      <c r="AA117" s="33">
        <v>2.0000000000000001E-4</v>
      </c>
      <c r="AB117" s="25">
        <v>176</v>
      </c>
      <c r="AC117" s="25">
        <v>0</v>
      </c>
      <c r="AD117" s="25">
        <v>86</v>
      </c>
      <c r="AE117" s="25">
        <v>89</v>
      </c>
      <c r="AF117" s="25">
        <v>0</v>
      </c>
      <c r="AG117" s="25">
        <v>0</v>
      </c>
      <c r="AH117" s="25">
        <v>1</v>
      </c>
      <c r="AI117" s="12">
        <v>0.4</v>
      </c>
      <c r="AJ117" s="25">
        <v>5117</v>
      </c>
      <c r="AK117" s="25">
        <v>621</v>
      </c>
      <c r="AL117" s="33">
        <v>0.1381</v>
      </c>
      <c r="AM117" s="3" t="s">
        <v>3891</v>
      </c>
      <c r="AN117" s="12" t="s">
        <v>3697</v>
      </c>
      <c r="AO117" s="12" t="s">
        <v>3697</v>
      </c>
      <c r="AP117" s="12" t="str">
        <f>"186841961492783"</f>
        <v>186841961492783</v>
      </c>
      <c r="AQ117" s="12" t="s">
        <v>618</v>
      </c>
      <c r="AR117" s="12" t="s">
        <v>3698</v>
      </c>
      <c r="AS117" s="12" t="s">
        <v>3095</v>
      </c>
      <c r="AT117" s="12"/>
      <c r="AU117" s="12" t="s">
        <v>324</v>
      </c>
      <c r="AV117" s="12"/>
      <c r="AW117" s="12"/>
      <c r="AX117" s="12">
        <v>0</v>
      </c>
      <c r="AY117" s="12">
        <v>15</v>
      </c>
      <c r="AZ117" s="12">
        <v>0</v>
      </c>
      <c r="BA117" s="12" t="s">
        <v>3699</v>
      </c>
      <c r="BB117" s="12" t="s">
        <v>6073</v>
      </c>
      <c r="BC117" s="12" t="s">
        <v>7396</v>
      </c>
      <c r="BD117" s="12"/>
      <c r="BE117" s="12" t="s">
        <v>2291</v>
      </c>
      <c r="BF117" s="12"/>
      <c r="BG117" s="12"/>
      <c r="BH117" s="12"/>
      <c r="BI117" s="12"/>
      <c r="BJ117" s="12"/>
      <c r="BK117" s="12"/>
      <c r="BL117" s="12" t="s">
        <v>2292</v>
      </c>
      <c r="BM117" s="12" t="s">
        <v>2292</v>
      </c>
      <c r="BN117" s="12" t="s">
        <v>2292</v>
      </c>
      <c r="BO117" s="12" t="s">
        <v>2292</v>
      </c>
      <c r="BP117" s="12"/>
      <c r="BQ117" s="12"/>
      <c r="BR117" s="12"/>
      <c r="BS117" s="12"/>
      <c r="BT117" s="12"/>
      <c r="BU117" s="12"/>
      <c r="BV117" s="12"/>
      <c r="BW117" s="12" t="s">
        <v>3700</v>
      </c>
      <c r="BX117" s="12"/>
      <c r="BY117" s="13" t="s">
        <v>313</v>
      </c>
      <c r="BZ117" s="13" t="s">
        <v>6170</v>
      </c>
      <c r="CA117" s="13" t="s">
        <v>6170</v>
      </c>
      <c r="CB117" s="13" t="s">
        <v>6197</v>
      </c>
      <c r="CC117" s="13"/>
      <c r="CD117" s="13" t="s">
        <v>6198</v>
      </c>
      <c r="CE117" s="13"/>
      <c r="CF117" s="13"/>
    </row>
    <row r="118" spans="1:2328" ht="18.600000000000001" customHeight="1" x14ac:dyDescent="0.25">
      <c r="A118" s="60" t="s">
        <v>36</v>
      </c>
      <c r="B118" s="2" t="s">
        <v>624</v>
      </c>
      <c r="C118" s="3" t="s">
        <v>2910</v>
      </c>
      <c r="D118" s="12" t="s">
        <v>619</v>
      </c>
      <c r="E118" s="12" t="s">
        <v>620</v>
      </c>
      <c r="F118" s="12" t="s">
        <v>4314</v>
      </c>
      <c r="G118" s="25">
        <v>906025</v>
      </c>
      <c r="H118" s="25">
        <v>711146</v>
      </c>
      <c r="I118" s="25">
        <v>33195</v>
      </c>
      <c r="J118" s="25">
        <v>133001</v>
      </c>
      <c r="K118" s="25">
        <v>3477552</v>
      </c>
      <c r="L118" s="25">
        <v>1876068</v>
      </c>
      <c r="M118" s="25">
        <v>5353620</v>
      </c>
      <c r="N118" s="31">
        <v>0.65</v>
      </c>
      <c r="O118" s="25">
        <v>0</v>
      </c>
      <c r="P118" s="25">
        <v>0</v>
      </c>
      <c r="Q118" s="25">
        <v>24776</v>
      </c>
      <c r="R118" s="25">
        <v>2205</v>
      </c>
      <c r="S118" s="25">
        <v>489</v>
      </c>
      <c r="T118" s="25">
        <v>835</v>
      </c>
      <c r="U118" s="61">
        <v>367</v>
      </c>
      <c r="V118" s="58">
        <v>3.0999999999999999E-3</v>
      </c>
      <c r="W118" s="33">
        <v>3.5999999999999999E-3</v>
      </c>
      <c r="X118" s="33">
        <v>1.8E-3</v>
      </c>
      <c r="Y118" s="33">
        <v>2.8E-3</v>
      </c>
      <c r="Z118" s="33">
        <v>2.3E-3</v>
      </c>
      <c r="AA118" s="12" t="s">
        <v>3926</v>
      </c>
      <c r="AB118" s="25">
        <v>393</v>
      </c>
      <c r="AC118" s="25">
        <v>234</v>
      </c>
      <c r="AD118" s="25">
        <v>2</v>
      </c>
      <c r="AE118" s="25">
        <v>7</v>
      </c>
      <c r="AF118" s="25">
        <v>150</v>
      </c>
      <c r="AG118" s="25">
        <v>0</v>
      </c>
      <c r="AH118" s="25">
        <v>0</v>
      </c>
      <c r="AI118" s="12">
        <v>0.9</v>
      </c>
      <c r="AJ118" s="25">
        <v>788800</v>
      </c>
      <c r="AK118" s="25">
        <v>86933</v>
      </c>
      <c r="AL118" s="33">
        <v>0.1239</v>
      </c>
      <c r="AM118" s="3" t="s">
        <v>2910</v>
      </c>
      <c r="AN118" s="12" t="s">
        <v>620</v>
      </c>
      <c r="AO118" s="12" t="s">
        <v>620</v>
      </c>
      <c r="AP118" s="12" t="str">
        <f>"109613107281"</f>
        <v>109613107281</v>
      </c>
      <c r="AQ118" s="12" t="s">
        <v>619</v>
      </c>
      <c r="AR118" s="12" t="s">
        <v>621</v>
      </c>
      <c r="AS118" s="12" t="s">
        <v>622</v>
      </c>
      <c r="AT118" s="12"/>
      <c r="AU118" s="12" t="s">
        <v>309</v>
      </c>
      <c r="AV118" s="12"/>
      <c r="AW118" s="12"/>
      <c r="AX118" s="12">
        <v>0</v>
      </c>
      <c r="AY118" s="12">
        <v>7740</v>
      </c>
      <c r="AZ118" s="12">
        <v>0</v>
      </c>
      <c r="BA118" s="12" t="s">
        <v>623</v>
      </c>
      <c r="BB118" s="12"/>
      <c r="BC118" s="12" t="s">
        <v>7129</v>
      </c>
      <c r="BD118" s="12"/>
      <c r="BE118" s="12" t="s">
        <v>2291</v>
      </c>
      <c r="BF118" s="12"/>
      <c r="BG118" s="12"/>
      <c r="BH118" s="12"/>
      <c r="BI118" s="12"/>
      <c r="BJ118" s="12"/>
      <c r="BK118" s="12"/>
      <c r="BL118" s="12" t="s">
        <v>2292</v>
      </c>
      <c r="BM118" s="12" t="s">
        <v>2292</v>
      </c>
      <c r="BN118" s="12" t="s">
        <v>2292</v>
      </c>
      <c r="BO118" s="12" t="s">
        <v>2291</v>
      </c>
      <c r="BP118" s="12"/>
      <c r="BQ118" s="12"/>
      <c r="BR118" s="12"/>
      <c r="BS118" s="12"/>
      <c r="BT118" s="12"/>
      <c r="BU118" s="12"/>
      <c r="BV118" s="12"/>
      <c r="BW118" s="12"/>
      <c r="BX118" s="12"/>
      <c r="BY118" s="13" t="s">
        <v>313</v>
      </c>
      <c r="BZ118" s="13" t="s">
        <v>312</v>
      </c>
      <c r="CA118" s="13"/>
      <c r="CB118" s="13"/>
      <c r="CC118" s="13"/>
      <c r="CD118" s="13"/>
      <c r="CE118" s="13"/>
      <c r="CF118" s="13"/>
    </row>
    <row r="119" spans="1:2328" ht="18.600000000000001" customHeight="1" x14ac:dyDescent="0.25">
      <c r="A119" s="60" t="s">
        <v>36</v>
      </c>
      <c r="B119" s="2" t="s">
        <v>315</v>
      </c>
      <c r="C119" s="3" t="s">
        <v>2960</v>
      </c>
      <c r="D119" s="12" t="s">
        <v>626</v>
      </c>
      <c r="E119" s="12" t="s">
        <v>625</v>
      </c>
      <c r="F119" s="12" t="s">
        <v>4343</v>
      </c>
      <c r="G119" s="25">
        <v>19372</v>
      </c>
      <c r="H119" s="25">
        <v>14798</v>
      </c>
      <c r="I119" s="25">
        <v>618</v>
      </c>
      <c r="J119" s="25">
        <v>3354</v>
      </c>
      <c r="K119" s="25">
        <v>4089</v>
      </c>
      <c r="L119" s="25">
        <v>3764</v>
      </c>
      <c r="M119" s="25">
        <v>7853</v>
      </c>
      <c r="N119" s="31">
        <v>0.52</v>
      </c>
      <c r="O119" s="25">
        <v>0</v>
      </c>
      <c r="P119" s="25">
        <v>1894</v>
      </c>
      <c r="Q119" s="25">
        <v>550</v>
      </c>
      <c r="R119" s="25">
        <v>21</v>
      </c>
      <c r="S119" s="25">
        <v>6</v>
      </c>
      <c r="T119" s="25">
        <v>22</v>
      </c>
      <c r="U119" s="61">
        <v>3</v>
      </c>
      <c r="V119" s="58">
        <v>5.7000000000000002E-3</v>
      </c>
      <c r="W119" s="33">
        <v>7.0000000000000001E-3</v>
      </c>
      <c r="X119" s="33">
        <v>3.8999999999999998E-3</v>
      </c>
      <c r="Y119" s="33">
        <v>4.1999999999999997E-3</v>
      </c>
      <c r="Z119" s="33">
        <v>9.5999999999999992E-3</v>
      </c>
      <c r="AA119" s="33">
        <v>3.8E-3</v>
      </c>
      <c r="AB119" s="25">
        <v>257</v>
      </c>
      <c r="AC119" s="25">
        <v>124</v>
      </c>
      <c r="AD119" s="25">
        <v>99</v>
      </c>
      <c r="AE119" s="25">
        <v>23</v>
      </c>
      <c r="AF119" s="25">
        <v>4</v>
      </c>
      <c r="AG119" s="25">
        <v>0</v>
      </c>
      <c r="AH119" s="25">
        <v>7</v>
      </c>
      <c r="AI119" s="12">
        <v>0.59</v>
      </c>
      <c r="AJ119" s="25">
        <v>18989</v>
      </c>
      <c r="AK119" s="25">
        <v>10435</v>
      </c>
      <c r="AL119" s="33">
        <v>1.2199</v>
      </c>
      <c r="AM119" s="3" t="s">
        <v>2960</v>
      </c>
      <c r="AN119" s="12" t="s">
        <v>625</v>
      </c>
      <c r="AO119" s="12" t="s">
        <v>625</v>
      </c>
      <c r="AP119" s="12" t="str">
        <f>"359060614156407"</f>
        <v>359060614156407</v>
      </c>
      <c r="AQ119" s="12" t="s">
        <v>626</v>
      </c>
      <c r="AR119" s="12" t="s">
        <v>627</v>
      </c>
      <c r="AS119" s="12" t="s">
        <v>628</v>
      </c>
      <c r="AT119" s="12"/>
      <c r="AU119" s="12" t="s">
        <v>324</v>
      </c>
      <c r="AV119" s="12"/>
      <c r="AW119" s="12"/>
      <c r="AX119" s="12">
        <v>0</v>
      </c>
      <c r="AY119" s="12">
        <v>265</v>
      </c>
      <c r="AZ119" s="12">
        <v>0</v>
      </c>
      <c r="BA119" s="12" t="s">
        <v>629</v>
      </c>
      <c r="BB119" s="12"/>
      <c r="BC119" s="12" t="s">
        <v>7201</v>
      </c>
      <c r="BD119" s="12"/>
      <c r="BE119" s="12" t="s">
        <v>2291</v>
      </c>
      <c r="BF119" s="12"/>
      <c r="BG119" s="12"/>
      <c r="BH119" s="12"/>
      <c r="BI119" s="12"/>
      <c r="BJ119" s="12"/>
      <c r="BK119" s="12"/>
      <c r="BL119" s="12" t="s">
        <v>2292</v>
      </c>
      <c r="BM119" s="12" t="s">
        <v>2292</v>
      </c>
      <c r="BN119" s="12" t="s">
        <v>2292</v>
      </c>
      <c r="BO119" s="12" t="s">
        <v>2291</v>
      </c>
      <c r="BP119" s="12"/>
      <c r="BQ119" s="12"/>
      <c r="BR119" s="12"/>
      <c r="BS119" s="12"/>
      <c r="BT119" s="12"/>
      <c r="BU119" s="12"/>
      <c r="BV119" s="12"/>
      <c r="BW119" s="12"/>
      <c r="BX119" s="12"/>
      <c r="BY119" s="13" t="s">
        <v>313</v>
      </c>
      <c r="BZ119" s="13" t="s">
        <v>6173</v>
      </c>
      <c r="CA119" s="13"/>
      <c r="CB119" s="13"/>
      <c r="CC119" s="13"/>
      <c r="CD119" s="13"/>
      <c r="CE119" s="13"/>
      <c r="CF119" s="13"/>
    </row>
    <row r="120" spans="1:2328" ht="18.600000000000001" customHeight="1" x14ac:dyDescent="0.25">
      <c r="A120" s="60" t="s">
        <v>36</v>
      </c>
      <c r="B120" s="2" t="s">
        <v>315</v>
      </c>
      <c r="C120" s="3" t="s">
        <v>3097</v>
      </c>
      <c r="D120" s="12" t="s">
        <v>630</v>
      </c>
      <c r="E120" s="12" t="s">
        <v>631</v>
      </c>
      <c r="F120" s="12" t="s">
        <v>4434</v>
      </c>
      <c r="G120" s="25">
        <v>373</v>
      </c>
      <c r="H120" s="25">
        <v>302</v>
      </c>
      <c r="I120" s="25">
        <v>11</v>
      </c>
      <c r="J120" s="25">
        <v>55</v>
      </c>
      <c r="K120" s="25">
        <v>0</v>
      </c>
      <c r="L120" s="25">
        <v>0</v>
      </c>
      <c r="M120" s="25">
        <v>0</v>
      </c>
      <c r="N120" s="31">
        <v>0</v>
      </c>
      <c r="O120" s="25">
        <v>0</v>
      </c>
      <c r="P120" s="25">
        <v>0</v>
      </c>
      <c r="Q120" s="25">
        <v>5</v>
      </c>
      <c r="R120" s="25">
        <v>0</v>
      </c>
      <c r="S120" s="25">
        <v>0</v>
      </c>
      <c r="T120" s="25">
        <v>0</v>
      </c>
      <c r="U120" s="61">
        <v>0</v>
      </c>
      <c r="V120" s="58">
        <v>4.4000000000000003E-3</v>
      </c>
      <c r="W120" s="33">
        <v>5.1000000000000004E-3</v>
      </c>
      <c r="X120" s="33">
        <v>1.6999999999999999E-3</v>
      </c>
      <c r="Y120" s="12" t="s">
        <v>3926</v>
      </c>
      <c r="Z120" s="12" t="s">
        <v>3926</v>
      </c>
      <c r="AA120" s="12" t="s">
        <v>3926</v>
      </c>
      <c r="AB120" s="25">
        <v>59</v>
      </c>
      <c r="AC120" s="25">
        <v>57</v>
      </c>
      <c r="AD120" s="25">
        <v>2</v>
      </c>
      <c r="AE120" s="25">
        <v>0</v>
      </c>
      <c r="AF120" s="25">
        <v>0</v>
      </c>
      <c r="AG120" s="25">
        <v>0</v>
      </c>
      <c r="AH120" s="25">
        <v>0</v>
      </c>
      <c r="AI120" s="12">
        <v>0.13</v>
      </c>
      <c r="AJ120" s="25">
        <v>1904</v>
      </c>
      <c r="AK120" s="25">
        <v>1438</v>
      </c>
      <c r="AL120" s="33">
        <v>3.0857999999999999</v>
      </c>
      <c r="AM120" s="3" t="s">
        <v>3097</v>
      </c>
      <c r="AN120" s="12" t="s">
        <v>631</v>
      </c>
      <c r="AO120" s="12" t="s">
        <v>631</v>
      </c>
      <c r="AP120" s="12" t="str">
        <f>"382670391843617"</f>
        <v>382670391843617</v>
      </c>
      <c r="AQ120" s="12" t="s">
        <v>630</v>
      </c>
      <c r="AR120" s="12"/>
      <c r="AS120" s="12" t="s">
        <v>3098</v>
      </c>
      <c r="AT120" s="12"/>
      <c r="AU120" s="12" t="s">
        <v>324</v>
      </c>
      <c r="AV120" s="12"/>
      <c r="AW120" s="12"/>
      <c r="AX120" s="12">
        <v>0</v>
      </c>
      <c r="AY120" s="12">
        <v>0</v>
      </c>
      <c r="AZ120" s="12">
        <v>0</v>
      </c>
      <c r="BA120" s="12" t="s">
        <v>632</v>
      </c>
      <c r="BB120" s="12" t="s">
        <v>7399</v>
      </c>
      <c r="BC120" s="12" t="s">
        <v>7400</v>
      </c>
      <c r="BD120" s="12"/>
      <c r="BE120" s="12" t="s">
        <v>2291</v>
      </c>
      <c r="BF120" s="12"/>
      <c r="BG120" s="12"/>
      <c r="BH120" s="12"/>
      <c r="BI120" s="12"/>
      <c r="BJ120" s="12"/>
      <c r="BK120" s="12"/>
      <c r="BL120" s="12" t="s">
        <v>2292</v>
      </c>
      <c r="BM120" s="12" t="s">
        <v>2292</v>
      </c>
      <c r="BN120" s="12" t="s">
        <v>2292</v>
      </c>
      <c r="BO120" s="12" t="s">
        <v>2291</v>
      </c>
      <c r="BP120" s="12"/>
      <c r="BQ120" s="12"/>
      <c r="BR120" s="12"/>
      <c r="BS120" s="12"/>
      <c r="BT120" s="12" t="s">
        <v>5495</v>
      </c>
      <c r="BU120" s="12"/>
      <c r="BV120" s="12"/>
      <c r="BW120" s="12" t="s">
        <v>7401</v>
      </c>
      <c r="BX120" s="12"/>
      <c r="BY120" s="13" t="s">
        <v>313</v>
      </c>
      <c r="BZ120" s="13" t="s">
        <v>6170</v>
      </c>
      <c r="CA120" s="13" t="s">
        <v>6170</v>
      </c>
      <c r="CB120" s="13" t="s">
        <v>312</v>
      </c>
      <c r="CC120" s="13"/>
      <c r="CD120" s="13" t="s">
        <v>6198</v>
      </c>
      <c r="CE120" s="13"/>
      <c r="CF120" s="13"/>
    </row>
    <row r="121" spans="1:2328" ht="18.600000000000001" customHeight="1" x14ac:dyDescent="0.25">
      <c r="A121" s="60" t="s">
        <v>36</v>
      </c>
      <c r="B121" s="2" t="s">
        <v>335</v>
      </c>
      <c r="C121" s="3" t="s">
        <v>5201</v>
      </c>
      <c r="D121" s="12" t="s">
        <v>5709</v>
      </c>
      <c r="E121" s="12" t="s">
        <v>37</v>
      </c>
      <c r="F121" s="12" t="s">
        <v>4465</v>
      </c>
      <c r="G121" s="25">
        <v>1781</v>
      </c>
      <c r="H121" s="25">
        <v>1340</v>
      </c>
      <c r="I121" s="25">
        <v>23</v>
      </c>
      <c r="J121" s="25">
        <v>396</v>
      </c>
      <c r="K121" s="25">
        <v>0</v>
      </c>
      <c r="L121" s="25">
        <v>0</v>
      </c>
      <c r="M121" s="25">
        <v>0</v>
      </c>
      <c r="N121" s="31">
        <v>0</v>
      </c>
      <c r="O121" s="25">
        <v>353</v>
      </c>
      <c r="P121" s="25">
        <v>0</v>
      </c>
      <c r="Q121" s="25">
        <v>21</v>
      </c>
      <c r="R121" s="25">
        <v>1</v>
      </c>
      <c r="S121" s="25">
        <v>0</v>
      </c>
      <c r="T121" s="25">
        <v>0</v>
      </c>
      <c r="U121" s="61">
        <v>0</v>
      </c>
      <c r="V121" s="58">
        <v>7.4999999999999997E-3</v>
      </c>
      <c r="W121" s="33">
        <v>8.3000000000000001E-3</v>
      </c>
      <c r="X121" s="33">
        <v>6.7000000000000002E-3</v>
      </c>
      <c r="Y121" s="12" t="s">
        <v>3926</v>
      </c>
      <c r="Z121" s="12" t="s">
        <v>3926</v>
      </c>
      <c r="AA121" s="33">
        <v>2.8999999999999998E-3</v>
      </c>
      <c r="AB121" s="25">
        <v>77</v>
      </c>
      <c r="AC121" s="25">
        <v>55</v>
      </c>
      <c r="AD121" s="25">
        <v>18</v>
      </c>
      <c r="AE121" s="25">
        <v>0</v>
      </c>
      <c r="AF121" s="25">
        <v>0</v>
      </c>
      <c r="AG121" s="25">
        <v>2</v>
      </c>
      <c r="AH121" s="25">
        <v>2</v>
      </c>
      <c r="AI121" s="12">
        <v>0.18</v>
      </c>
      <c r="AJ121" s="25">
        <v>3338</v>
      </c>
      <c r="AK121" s="25">
        <v>623</v>
      </c>
      <c r="AL121" s="33">
        <v>0.22950000000000001</v>
      </c>
      <c r="AM121" s="3" t="s">
        <v>5201</v>
      </c>
      <c r="AN121" s="12" t="s">
        <v>37</v>
      </c>
      <c r="AO121" s="12" t="s">
        <v>37</v>
      </c>
      <c r="AP121" s="12" t="str">
        <f>"348608005219771"</f>
        <v>348608005219771</v>
      </c>
      <c r="AQ121" s="12" t="s">
        <v>5709</v>
      </c>
      <c r="AR121" s="12" t="s">
        <v>633</v>
      </c>
      <c r="AS121" s="12" t="s">
        <v>634</v>
      </c>
      <c r="AT121" s="12"/>
      <c r="AU121" s="12" t="s">
        <v>324</v>
      </c>
      <c r="AV121" s="12"/>
      <c r="AW121" s="12"/>
      <c r="AX121" s="12">
        <v>0</v>
      </c>
      <c r="AY121" s="12">
        <v>4</v>
      </c>
      <c r="AZ121" s="12">
        <v>0</v>
      </c>
      <c r="BA121" s="12" t="s">
        <v>5447</v>
      </c>
      <c r="BB121" s="12" t="s">
        <v>7202</v>
      </c>
      <c r="BC121" s="12" t="s">
        <v>7203</v>
      </c>
      <c r="BD121" s="12"/>
      <c r="BE121" s="12" t="s">
        <v>2291</v>
      </c>
      <c r="BF121" s="12"/>
      <c r="BG121" s="12"/>
      <c r="BH121" s="12"/>
      <c r="BI121" s="12"/>
      <c r="BJ121" s="12"/>
      <c r="BK121" s="12"/>
      <c r="BL121" s="12" t="s">
        <v>2292</v>
      </c>
      <c r="BM121" s="12" t="s">
        <v>2292</v>
      </c>
      <c r="BN121" s="12" t="s">
        <v>2292</v>
      </c>
      <c r="BO121" s="12" t="s">
        <v>2291</v>
      </c>
      <c r="BP121" s="12" t="s">
        <v>2961</v>
      </c>
      <c r="BQ121" s="12"/>
      <c r="BR121" s="12"/>
      <c r="BS121" s="12"/>
      <c r="BT121" s="12" t="s">
        <v>2962</v>
      </c>
      <c r="BU121" s="12"/>
      <c r="BV121" s="12"/>
      <c r="BW121" s="12" t="s">
        <v>635</v>
      </c>
      <c r="BX121" s="12"/>
      <c r="BY121" s="13" t="s">
        <v>313</v>
      </c>
      <c r="BZ121" s="13" t="s">
        <v>6170</v>
      </c>
      <c r="CA121" s="13" t="s">
        <v>6170</v>
      </c>
      <c r="CB121" s="13" t="s">
        <v>312</v>
      </c>
      <c r="CC121" s="13"/>
      <c r="CD121" s="13" t="s">
        <v>6198</v>
      </c>
      <c r="CE121" s="13"/>
      <c r="CF121" s="13"/>
    </row>
    <row r="122" spans="1:2328" ht="18.600000000000001" customHeight="1" x14ac:dyDescent="0.25">
      <c r="A122" s="19" t="s">
        <v>59</v>
      </c>
      <c r="B122" s="2" t="s">
        <v>643</v>
      </c>
      <c r="C122" s="3" t="s">
        <v>2842</v>
      </c>
      <c r="D122" s="12" t="s">
        <v>637</v>
      </c>
      <c r="E122" s="12" t="s">
        <v>636</v>
      </c>
      <c r="F122" s="12" t="s">
        <v>4260</v>
      </c>
      <c r="G122" s="25">
        <v>2666</v>
      </c>
      <c r="H122" s="25">
        <v>2044</v>
      </c>
      <c r="I122" s="25">
        <v>182</v>
      </c>
      <c r="J122" s="25">
        <v>386</v>
      </c>
      <c r="K122" s="25">
        <v>9764</v>
      </c>
      <c r="L122" s="25">
        <v>7674</v>
      </c>
      <c r="M122" s="25">
        <v>17438</v>
      </c>
      <c r="N122" s="31">
        <v>0.56000000000000005</v>
      </c>
      <c r="O122" s="25">
        <v>0</v>
      </c>
      <c r="P122" s="25">
        <v>0</v>
      </c>
      <c r="Q122" s="25">
        <v>29</v>
      </c>
      <c r="R122" s="25">
        <v>1</v>
      </c>
      <c r="S122" s="25">
        <v>4</v>
      </c>
      <c r="T122" s="25">
        <v>18</v>
      </c>
      <c r="U122" s="61">
        <v>2</v>
      </c>
      <c r="V122" s="58">
        <v>1.06E-2</v>
      </c>
      <c r="W122" s="33">
        <v>6.1000000000000004E-3</v>
      </c>
      <c r="X122" s="33">
        <v>1.1000000000000001E-3</v>
      </c>
      <c r="Y122" s="33">
        <v>6.8999999999999999E-3</v>
      </c>
      <c r="Z122" s="33">
        <v>3.7900000000000003E-2</v>
      </c>
      <c r="AA122" s="33">
        <v>1.47E-2</v>
      </c>
      <c r="AB122" s="25">
        <v>12</v>
      </c>
      <c r="AC122" s="25">
        <v>5</v>
      </c>
      <c r="AD122" s="25">
        <v>1</v>
      </c>
      <c r="AE122" s="25">
        <v>2</v>
      </c>
      <c r="AF122" s="25">
        <v>1</v>
      </c>
      <c r="AG122" s="25">
        <v>0</v>
      </c>
      <c r="AH122" s="25">
        <v>3</v>
      </c>
      <c r="AI122" s="12">
        <v>0.03</v>
      </c>
      <c r="AJ122" s="25">
        <v>20780</v>
      </c>
      <c r="AK122" s="25">
        <v>-166</v>
      </c>
      <c r="AL122" s="33">
        <v>-7.9000000000000008E-3</v>
      </c>
      <c r="AM122" s="3" t="s">
        <v>2842</v>
      </c>
      <c r="AN122" s="12" t="s">
        <v>636</v>
      </c>
      <c r="AO122" s="12" t="s">
        <v>636</v>
      </c>
      <c r="AP122" s="12" t="str">
        <f>"615205935267536"</f>
        <v>615205935267536</v>
      </c>
      <c r="AQ122" s="12" t="s">
        <v>637</v>
      </c>
      <c r="AR122" s="12" t="s">
        <v>254</v>
      </c>
      <c r="AS122" s="12" t="s">
        <v>638</v>
      </c>
      <c r="AT122" s="12" t="s">
        <v>2843</v>
      </c>
      <c r="AU122" s="12" t="s">
        <v>309</v>
      </c>
      <c r="AV122" s="12"/>
      <c r="AW122" s="12"/>
      <c r="AX122" s="12">
        <v>0</v>
      </c>
      <c r="AY122" s="12">
        <v>14</v>
      </c>
      <c r="AZ122" s="12">
        <v>0</v>
      </c>
      <c r="BA122" s="12" t="s">
        <v>639</v>
      </c>
      <c r="BB122" s="12" t="s">
        <v>5950</v>
      </c>
      <c r="BC122" s="12" t="s">
        <v>7014</v>
      </c>
      <c r="BD122" s="12" t="s">
        <v>640</v>
      </c>
      <c r="BE122" s="12" t="s">
        <v>2291</v>
      </c>
      <c r="BF122" s="12"/>
      <c r="BG122" s="12"/>
      <c r="BH122" s="12"/>
      <c r="BI122" s="12"/>
      <c r="BJ122" s="12"/>
      <c r="BK122" s="12"/>
      <c r="BL122" s="12" t="s">
        <v>2292</v>
      </c>
      <c r="BM122" s="12" t="s">
        <v>2292</v>
      </c>
      <c r="BN122" s="12" t="s">
        <v>2292</v>
      </c>
      <c r="BO122" s="12" t="s">
        <v>2292</v>
      </c>
      <c r="BP122" s="12"/>
      <c r="BQ122" s="12"/>
      <c r="BR122" s="12"/>
      <c r="BS122" s="12" t="s">
        <v>641</v>
      </c>
      <c r="BT122" s="12"/>
      <c r="BU122" s="12"/>
      <c r="BV122" s="12"/>
      <c r="BW122" s="12" t="s">
        <v>642</v>
      </c>
      <c r="BX122" s="12"/>
      <c r="BY122" s="13" t="s">
        <v>313</v>
      </c>
      <c r="BZ122" s="13" t="s">
        <v>6170</v>
      </c>
      <c r="CA122" s="13" t="s">
        <v>6170</v>
      </c>
      <c r="CB122" s="13" t="s">
        <v>6197</v>
      </c>
      <c r="CC122" s="13"/>
      <c r="CD122" s="13" t="s">
        <v>6198</v>
      </c>
      <c r="CE122" s="13"/>
      <c r="CF122" s="13"/>
    </row>
    <row r="123" spans="1:2328" ht="18.600000000000001" customHeight="1" x14ac:dyDescent="0.25">
      <c r="A123" s="60" t="s">
        <v>38</v>
      </c>
      <c r="B123" s="2" t="s">
        <v>652</v>
      </c>
      <c r="C123" s="3" t="s">
        <v>2931</v>
      </c>
      <c r="D123" s="12" t="s">
        <v>644</v>
      </c>
      <c r="E123" s="12" t="s">
        <v>646</v>
      </c>
      <c r="F123" s="12" t="s">
        <v>4330</v>
      </c>
      <c r="G123" s="25">
        <v>537670</v>
      </c>
      <c r="H123" s="25">
        <v>468808</v>
      </c>
      <c r="I123" s="25">
        <v>25656</v>
      </c>
      <c r="J123" s="25">
        <v>31873</v>
      </c>
      <c r="K123" s="25">
        <v>56668</v>
      </c>
      <c r="L123" s="25">
        <v>29362</v>
      </c>
      <c r="M123" s="25">
        <v>86030</v>
      </c>
      <c r="N123" s="31">
        <v>0.66</v>
      </c>
      <c r="O123" s="25">
        <v>18902</v>
      </c>
      <c r="P123" s="25">
        <v>0</v>
      </c>
      <c r="Q123" s="25">
        <v>7783</v>
      </c>
      <c r="R123" s="25">
        <v>286</v>
      </c>
      <c r="S123" s="25">
        <v>870</v>
      </c>
      <c r="T123" s="25">
        <v>1837</v>
      </c>
      <c r="U123" s="61">
        <v>548</v>
      </c>
      <c r="V123" s="58">
        <v>8.0999999999999996E-3</v>
      </c>
      <c r="W123" s="33">
        <v>8.9999999999999993E-3</v>
      </c>
      <c r="X123" s="33">
        <v>2.5999999999999999E-3</v>
      </c>
      <c r="Y123" s="33">
        <v>6.4000000000000003E-3</v>
      </c>
      <c r="Z123" s="33">
        <v>5.8999999999999999E-3</v>
      </c>
      <c r="AA123" s="33">
        <v>1.6000000000000001E-3</v>
      </c>
      <c r="AB123" s="25">
        <v>190</v>
      </c>
      <c r="AC123" s="25">
        <v>143</v>
      </c>
      <c r="AD123" s="25">
        <v>5</v>
      </c>
      <c r="AE123" s="25">
        <v>31</v>
      </c>
      <c r="AF123" s="25">
        <v>4</v>
      </c>
      <c r="AG123" s="25">
        <v>5</v>
      </c>
      <c r="AH123" s="25">
        <v>2</v>
      </c>
      <c r="AI123" s="12">
        <v>0.43</v>
      </c>
      <c r="AJ123" s="25">
        <v>395425</v>
      </c>
      <c r="AK123" s="25">
        <v>95543</v>
      </c>
      <c r="AL123" s="33">
        <v>0.31859999999999999</v>
      </c>
      <c r="AM123" s="3" t="s">
        <v>2931</v>
      </c>
      <c r="AN123" s="12" t="s">
        <v>646</v>
      </c>
      <c r="AO123" s="12" t="s">
        <v>646</v>
      </c>
      <c r="AP123" s="12" t="str">
        <f>"182521101771662"</f>
        <v>182521101771662</v>
      </c>
      <c r="AQ123" s="12" t="s">
        <v>644</v>
      </c>
      <c r="AR123" s="12" t="s">
        <v>647</v>
      </c>
      <c r="AS123" s="12" t="s">
        <v>645</v>
      </c>
      <c r="AT123" s="12" t="s">
        <v>647</v>
      </c>
      <c r="AU123" s="12" t="s">
        <v>309</v>
      </c>
      <c r="AV123" s="12"/>
      <c r="AW123" s="12"/>
      <c r="AX123" s="12">
        <v>0</v>
      </c>
      <c r="AY123" s="12">
        <v>4235</v>
      </c>
      <c r="AZ123" s="12">
        <v>0</v>
      </c>
      <c r="BA123" s="12" t="s">
        <v>648</v>
      </c>
      <c r="BB123" s="12" t="s">
        <v>5992</v>
      </c>
      <c r="BC123" s="12" t="s">
        <v>7170</v>
      </c>
      <c r="BD123" s="12"/>
      <c r="BE123" s="12" t="s">
        <v>2291</v>
      </c>
      <c r="BF123" s="12"/>
      <c r="BG123" s="12"/>
      <c r="BH123" s="12"/>
      <c r="BI123" s="12"/>
      <c r="BJ123" s="12"/>
      <c r="BK123" s="12"/>
      <c r="BL123" s="12" t="s">
        <v>2292</v>
      </c>
      <c r="BM123" s="12" t="s">
        <v>2292</v>
      </c>
      <c r="BN123" s="12" t="s">
        <v>2292</v>
      </c>
      <c r="BO123" s="12" t="s">
        <v>2291</v>
      </c>
      <c r="BP123" s="12"/>
      <c r="BQ123" s="12"/>
      <c r="BR123" s="12" t="s">
        <v>649</v>
      </c>
      <c r="BS123" s="12"/>
      <c r="BT123" s="12" t="s">
        <v>650</v>
      </c>
      <c r="BU123" s="12"/>
      <c r="BV123" s="12"/>
      <c r="BW123" s="12" t="s">
        <v>651</v>
      </c>
      <c r="BX123" s="12"/>
      <c r="BY123" s="13" t="s">
        <v>313</v>
      </c>
      <c r="BZ123" s="13" t="s">
        <v>6174</v>
      </c>
      <c r="CA123" s="13"/>
      <c r="CB123" s="13"/>
      <c r="CC123" s="13"/>
      <c r="CD123" s="13"/>
      <c r="CE123" s="13"/>
      <c r="CF123" s="13"/>
    </row>
    <row r="124" spans="1:2328" ht="18.600000000000001" customHeight="1" x14ac:dyDescent="0.25">
      <c r="A124" s="35" t="s">
        <v>38</v>
      </c>
      <c r="B124" s="13" t="s">
        <v>314</v>
      </c>
      <c r="C124" s="3" t="s">
        <v>3335</v>
      </c>
      <c r="D124" s="12" t="s">
        <v>3452</v>
      </c>
      <c r="E124" s="12" t="s">
        <v>3451</v>
      </c>
      <c r="F124" s="12" t="s">
        <v>4291</v>
      </c>
      <c r="G124" s="25">
        <v>568434</v>
      </c>
      <c r="H124" s="25">
        <v>465473</v>
      </c>
      <c r="I124" s="25">
        <v>19150</v>
      </c>
      <c r="J124" s="25">
        <v>73017</v>
      </c>
      <c r="K124" s="25">
        <v>321873</v>
      </c>
      <c r="L124" s="25">
        <v>304078</v>
      </c>
      <c r="M124" s="25">
        <v>625951</v>
      </c>
      <c r="N124" s="31">
        <v>0.51</v>
      </c>
      <c r="O124" s="25">
        <v>8143</v>
      </c>
      <c r="P124" s="25">
        <v>11605</v>
      </c>
      <c r="Q124" s="25">
        <v>7896</v>
      </c>
      <c r="R124" s="25">
        <v>400</v>
      </c>
      <c r="S124" s="25">
        <v>803</v>
      </c>
      <c r="T124" s="25">
        <v>1184</v>
      </c>
      <c r="U124" s="61">
        <v>511</v>
      </c>
      <c r="V124" s="58">
        <v>3.8999999999999998E-3</v>
      </c>
      <c r="W124" s="33">
        <v>4.3E-3</v>
      </c>
      <c r="X124" s="33">
        <v>1.6000000000000001E-3</v>
      </c>
      <c r="Y124" s="33">
        <v>1.4E-3</v>
      </c>
      <c r="Z124" s="33">
        <v>5.7999999999999996E-3</v>
      </c>
      <c r="AA124" s="33">
        <v>2.2000000000000001E-3</v>
      </c>
      <c r="AB124" s="25">
        <v>1062</v>
      </c>
      <c r="AC124" s="25">
        <v>887</v>
      </c>
      <c r="AD124" s="25">
        <v>115</v>
      </c>
      <c r="AE124" s="25">
        <v>12</v>
      </c>
      <c r="AF124" s="25">
        <v>37</v>
      </c>
      <c r="AG124" s="25">
        <v>4</v>
      </c>
      <c r="AH124" s="25">
        <v>7</v>
      </c>
      <c r="AI124" s="12">
        <v>2.42</v>
      </c>
      <c r="AJ124" s="25">
        <v>157132</v>
      </c>
      <c r="AK124" s="25">
        <v>48052</v>
      </c>
      <c r="AL124" s="33">
        <v>0.4405</v>
      </c>
      <c r="AM124" s="3" t="s">
        <v>3335</v>
      </c>
      <c r="AN124" s="12" t="s">
        <v>3451</v>
      </c>
      <c r="AO124" s="12" t="s">
        <v>3451</v>
      </c>
      <c r="AP124" s="12" t="str">
        <f>"1543390179285746"</f>
        <v>1543390179285746</v>
      </c>
      <c r="AQ124" s="12" t="s">
        <v>3452</v>
      </c>
      <c r="AR124" s="12" t="s">
        <v>653</v>
      </c>
      <c r="AS124" s="12" t="s">
        <v>3453</v>
      </c>
      <c r="AT124" s="12"/>
      <c r="AU124" s="12" t="s">
        <v>324</v>
      </c>
      <c r="AV124" s="12" t="s">
        <v>5752</v>
      </c>
      <c r="AW124" s="12"/>
      <c r="AX124" s="12">
        <v>10733</v>
      </c>
      <c r="AY124" s="12">
        <v>11995</v>
      </c>
      <c r="AZ124" s="12">
        <v>10733</v>
      </c>
      <c r="BA124" s="12" t="s">
        <v>3454</v>
      </c>
      <c r="BB124" s="12" t="s">
        <v>7081</v>
      </c>
      <c r="BC124" s="12" t="s">
        <v>7082</v>
      </c>
      <c r="BD124" s="12"/>
      <c r="BE124" s="12" t="s">
        <v>2291</v>
      </c>
      <c r="BF124" s="12"/>
      <c r="BG124" s="12"/>
      <c r="BH124" s="12"/>
      <c r="BI124" s="12" t="s">
        <v>5424</v>
      </c>
      <c r="BJ124" s="12"/>
      <c r="BK124" s="12"/>
      <c r="BL124" s="12" t="s">
        <v>2292</v>
      </c>
      <c r="BM124" s="12" t="s">
        <v>2292</v>
      </c>
      <c r="BN124" s="12" t="s">
        <v>2292</v>
      </c>
      <c r="BO124" s="12" t="s">
        <v>2291</v>
      </c>
      <c r="BP124" s="12"/>
      <c r="BQ124" s="12"/>
      <c r="BR124" s="12"/>
      <c r="BS124" s="12"/>
      <c r="BT124" s="12"/>
      <c r="BU124" s="12" t="s">
        <v>326</v>
      </c>
      <c r="BV124" s="12"/>
      <c r="BW124" s="12" t="s">
        <v>3455</v>
      </c>
      <c r="BX124" s="12"/>
      <c r="BY124" s="13" t="s">
        <v>313</v>
      </c>
      <c r="BZ124" s="13" t="s">
        <v>6174</v>
      </c>
      <c r="CA124" s="13" t="s">
        <v>6170</v>
      </c>
      <c r="CB124" s="13" t="s">
        <v>6202</v>
      </c>
      <c r="CC124" s="13" t="s">
        <v>6187</v>
      </c>
      <c r="CD124" s="13" t="s">
        <v>6195</v>
      </c>
      <c r="CE124" s="13"/>
      <c r="CF124" s="13"/>
    </row>
    <row r="125" spans="1:2328" ht="18.600000000000001" customHeight="1" x14ac:dyDescent="0.25">
      <c r="A125" s="60" t="s">
        <v>39</v>
      </c>
      <c r="B125" s="2" t="s">
        <v>4843</v>
      </c>
      <c r="C125" s="3" t="s">
        <v>4844</v>
      </c>
      <c r="D125" s="12" t="s">
        <v>4861</v>
      </c>
      <c r="E125" s="12" t="s">
        <v>4795</v>
      </c>
      <c r="F125" s="3" t="s">
        <v>4862</v>
      </c>
      <c r="G125" s="25">
        <v>12852</v>
      </c>
      <c r="H125" s="25">
        <v>9035</v>
      </c>
      <c r="I125" s="25">
        <v>2027</v>
      </c>
      <c r="J125" s="25">
        <v>375</v>
      </c>
      <c r="K125" s="25">
        <v>3340</v>
      </c>
      <c r="L125" s="25">
        <v>3946</v>
      </c>
      <c r="M125" s="25">
        <v>7286</v>
      </c>
      <c r="N125" s="31">
        <v>0.46</v>
      </c>
      <c r="O125" s="25">
        <v>598</v>
      </c>
      <c r="P125" s="25">
        <v>0</v>
      </c>
      <c r="Q125" s="25">
        <v>787</v>
      </c>
      <c r="R125" s="25">
        <v>61</v>
      </c>
      <c r="S125" s="25">
        <v>33</v>
      </c>
      <c r="T125" s="25">
        <v>530</v>
      </c>
      <c r="U125" s="61">
        <v>4</v>
      </c>
      <c r="V125" s="58">
        <v>0.13300000000000001</v>
      </c>
      <c r="W125" s="33">
        <v>0.16639999999999999</v>
      </c>
      <c r="X125" s="33">
        <v>3.5099999999999999E-2</v>
      </c>
      <c r="Y125" s="33">
        <v>6.0299999999999999E-2</v>
      </c>
      <c r="Z125" s="33">
        <v>0.12920000000000001</v>
      </c>
      <c r="AA125" s="12" t="s">
        <v>3926</v>
      </c>
      <c r="AB125" s="25">
        <v>41</v>
      </c>
      <c r="AC125" s="25">
        <v>31</v>
      </c>
      <c r="AD125" s="25">
        <v>2</v>
      </c>
      <c r="AE125" s="25">
        <v>3</v>
      </c>
      <c r="AF125" s="25">
        <v>3</v>
      </c>
      <c r="AG125" s="25">
        <v>2</v>
      </c>
      <c r="AH125" s="25">
        <v>0</v>
      </c>
      <c r="AI125" s="12">
        <v>0.09</v>
      </c>
      <c r="AJ125" s="25">
        <v>3090</v>
      </c>
      <c r="AK125" s="25">
        <v>0</v>
      </c>
      <c r="AL125" s="31">
        <v>0</v>
      </c>
      <c r="AM125" s="3" t="s">
        <v>4844</v>
      </c>
      <c r="AN125" s="12" t="s">
        <v>4795</v>
      </c>
      <c r="AO125" s="12" t="s">
        <v>4795</v>
      </c>
      <c r="AP125" s="12" t="str">
        <f>"121970121613451"</f>
        <v>121970121613451</v>
      </c>
      <c r="AQ125" s="12" t="s">
        <v>4861</v>
      </c>
      <c r="AR125" s="12" t="s">
        <v>5251</v>
      </c>
      <c r="AS125" s="12" t="s">
        <v>4890</v>
      </c>
      <c r="AT125" s="12" t="s">
        <v>4891</v>
      </c>
      <c r="AU125" s="12" t="s">
        <v>309</v>
      </c>
      <c r="AV125" s="12"/>
      <c r="AW125" s="12"/>
      <c r="AX125" s="12">
        <v>0</v>
      </c>
      <c r="AY125" s="12">
        <v>203</v>
      </c>
      <c r="AZ125" s="12">
        <v>0</v>
      </c>
      <c r="BA125" s="12" t="s">
        <v>4892</v>
      </c>
      <c r="BB125" s="12"/>
      <c r="BC125" s="12" t="s">
        <v>6438</v>
      </c>
      <c r="BD125" s="12"/>
      <c r="BE125" s="12" t="s">
        <v>2291</v>
      </c>
      <c r="BF125" s="12"/>
      <c r="BG125" s="12"/>
      <c r="BH125" s="12"/>
      <c r="BI125" s="12"/>
      <c r="BJ125" s="12"/>
      <c r="BK125" s="12"/>
      <c r="BL125" s="12" t="s">
        <v>2292</v>
      </c>
      <c r="BM125" s="12" t="s">
        <v>2292</v>
      </c>
      <c r="BN125" s="12" t="s">
        <v>2292</v>
      </c>
      <c r="BO125" s="12" t="s">
        <v>2291</v>
      </c>
      <c r="BP125" s="12"/>
      <c r="BQ125" s="12"/>
      <c r="BR125" s="12"/>
      <c r="BS125" s="12"/>
      <c r="BT125" s="12"/>
      <c r="BU125" s="12"/>
      <c r="BV125" s="12"/>
      <c r="BW125" s="12"/>
      <c r="BX125" s="12"/>
      <c r="BY125" s="13" t="s">
        <v>313</v>
      </c>
      <c r="BZ125" s="13" t="s">
        <v>6171</v>
      </c>
      <c r="CA125" s="13"/>
      <c r="CB125" s="13"/>
      <c r="CC125" s="13"/>
      <c r="CD125" s="13"/>
      <c r="CE125" s="13"/>
      <c r="CF125" s="13"/>
    </row>
    <row r="126" spans="1:2328" ht="18.600000000000001" customHeight="1" x14ac:dyDescent="0.25">
      <c r="A126" s="60" t="s">
        <v>39</v>
      </c>
      <c r="B126" s="2" t="s">
        <v>314</v>
      </c>
      <c r="C126" s="3" t="s">
        <v>3000</v>
      </c>
      <c r="D126" s="12" t="s">
        <v>654</v>
      </c>
      <c r="E126" s="12" t="s">
        <v>40</v>
      </c>
      <c r="F126" s="12" t="s">
        <v>4370</v>
      </c>
      <c r="G126" s="25">
        <v>36619</v>
      </c>
      <c r="H126" s="25">
        <v>29830</v>
      </c>
      <c r="I126" s="25">
        <v>2094</v>
      </c>
      <c r="J126" s="25">
        <v>2544</v>
      </c>
      <c r="K126" s="25">
        <v>18871</v>
      </c>
      <c r="L126" s="25">
        <v>30724</v>
      </c>
      <c r="M126" s="25">
        <v>49595</v>
      </c>
      <c r="N126" s="31">
        <v>0.38</v>
      </c>
      <c r="O126" s="25">
        <v>883</v>
      </c>
      <c r="P126" s="25">
        <v>0</v>
      </c>
      <c r="Q126" s="25">
        <v>1575</v>
      </c>
      <c r="R126" s="25">
        <v>112</v>
      </c>
      <c r="S126" s="25">
        <v>29</v>
      </c>
      <c r="T126" s="25">
        <v>427</v>
      </c>
      <c r="U126" s="61">
        <v>7</v>
      </c>
      <c r="V126" s="58">
        <v>1.41E-2</v>
      </c>
      <c r="W126" s="33">
        <v>2.4400000000000002E-2</v>
      </c>
      <c r="X126" s="33">
        <v>1.0500000000000001E-2</v>
      </c>
      <c r="Y126" s="33">
        <v>7.4000000000000003E-3</v>
      </c>
      <c r="Z126" s="33">
        <v>2.3300000000000001E-2</v>
      </c>
      <c r="AA126" s="33">
        <v>3.0000000000000001E-3</v>
      </c>
      <c r="AB126" s="25">
        <v>641</v>
      </c>
      <c r="AC126" s="25">
        <v>167</v>
      </c>
      <c r="AD126" s="25">
        <v>442</v>
      </c>
      <c r="AE126" s="25">
        <v>2</v>
      </c>
      <c r="AF126" s="25">
        <v>21</v>
      </c>
      <c r="AG126" s="25">
        <v>2</v>
      </c>
      <c r="AH126" s="25">
        <v>7</v>
      </c>
      <c r="AI126" s="12">
        <v>1.46</v>
      </c>
      <c r="AJ126" s="25">
        <v>4840</v>
      </c>
      <c r="AK126" s="25">
        <v>1906</v>
      </c>
      <c r="AL126" s="33">
        <v>0.64959999999999996</v>
      </c>
      <c r="AM126" s="3" t="s">
        <v>3000</v>
      </c>
      <c r="AN126" s="12" t="s">
        <v>40</v>
      </c>
      <c r="AO126" s="12" t="s">
        <v>40</v>
      </c>
      <c r="AP126" s="12" t="str">
        <f>"586396861428269"</f>
        <v>586396861428269</v>
      </c>
      <c r="AQ126" s="12" t="s">
        <v>654</v>
      </c>
      <c r="AR126" s="12" t="s">
        <v>655</v>
      </c>
      <c r="AS126" s="12" t="s">
        <v>3807</v>
      </c>
      <c r="AT126" s="12"/>
      <c r="AU126" s="12" t="s">
        <v>324</v>
      </c>
      <c r="AV126" s="12" t="s">
        <v>5731</v>
      </c>
      <c r="AW126" s="12"/>
      <c r="AX126" s="12">
        <v>66</v>
      </c>
      <c r="AY126" s="12">
        <v>1121</v>
      </c>
      <c r="AZ126" s="12">
        <v>66</v>
      </c>
      <c r="BA126" s="12" t="s">
        <v>656</v>
      </c>
      <c r="BB126" s="12" t="s">
        <v>7265</v>
      </c>
      <c r="BC126" s="12" t="s">
        <v>7266</v>
      </c>
      <c r="BD126" s="12"/>
      <c r="BE126" s="12" t="s">
        <v>2291</v>
      </c>
      <c r="BF126" s="12"/>
      <c r="BG126" s="12"/>
      <c r="BH126" s="12"/>
      <c r="BI126" s="12" t="s">
        <v>3808</v>
      </c>
      <c r="BJ126" s="12"/>
      <c r="BK126" s="12"/>
      <c r="BL126" s="12" t="s">
        <v>2292</v>
      </c>
      <c r="BM126" s="12" t="s">
        <v>2292</v>
      </c>
      <c r="BN126" s="12" t="s">
        <v>2292</v>
      </c>
      <c r="BO126" s="12" t="s">
        <v>2292</v>
      </c>
      <c r="BP126" s="12"/>
      <c r="BQ126" s="12"/>
      <c r="BR126" s="12"/>
      <c r="BS126" s="12"/>
      <c r="BT126" s="12" t="s">
        <v>3001</v>
      </c>
      <c r="BU126" s="12" t="s">
        <v>326</v>
      </c>
      <c r="BV126" s="12"/>
      <c r="BW126" s="12" t="s">
        <v>657</v>
      </c>
      <c r="BX126" s="12"/>
      <c r="BY126" s="13" t="s">
        <v>313</v>
      </c>
      <c r="BZ126" s="13" t="s">
        <v>6170</v>
      </c>
      <c r="CA126" s="13" t="s">
        <v>6170</v>
      </c>
      <c r="CB126" s="13" t="s">
        <v>312</v>
      </c>
      <c r="CC126" s="13"/>
      <c r="CD126" s="13" t="s">
        <v>6198</v>
      </c>
      <c r="CE126" s="13"/>
      <c r="CF126" s="13"/>
    </row>
    <row r="127" spans="1:2328" ht="18.600000000000001" customHeight="1" x14ac:dyDescent="0.25">
      <c r="A127" s="60" t="s">
        <v>41</v>
      </c>
      <c r="B127" s="2" t="s">
        <v>658</v>
      </c>
      <c r="C127" s="3" t="s">
        <v>6231</v>
      </c>
      <c r="D127" s="12" t="s">
        <v>7111</v>
      </c>
      <c r="E127" s="12" t="s">
        <v>7110</v>
      </c>
      <c r="F127" s="12" t="s">
        <v>7433</v>
      </c>
      <c r="G127" s="25">
        <v>473</v>
      </c>
      <c r="H127" s="25">
        <v>318</v>
      </c>
      <c r="I127" s="25">
        <v>103</v>
      </c>
      <c r="J127" s="25">
        <v>39</v>
      </c>
      <c r="K127" s="25">
        <v>0</v>
      </c>
      <c r="L127" s="25">
        <v>0</v>
      </c>
      <c r="M127" s="25">
        <v>0</v>
      </c>
      <c r="N127" s="31">
        <v>0</v>
      </c>
      <c r="O127" s="25">
        <v>0</v>
      </c>
      <c r="P127" s="25">
        <v>0</v>
      </c>
      <c r="Q127" s="25">
        <v>10</v>
      </c>
      <c r="R127" s="25">
        <v>1</v>
      </c>
      <c r="S127" s="25">
        <v>2</v>
      </c>
      <c r="T127" s="25">
        <v>0</v>
      </c>
      <c r="U127" s="61">
        <v>0</v>
      </c>
      <c r="V127" s="58">
        <v>6.8999999999999999E-3</v>
      </c>
      <c r="W127" s="33">
        <v>7.7999999999999996E-3</v>
      </c>
      <c r="X127" s="12" t="s">
        <v>3926</v>
      </c>
      <c r="Y127" s="33">
        <v>6.7999999999999996E-3</v>
      </c>
      <c r="Z127" s="12" t="s">
        <v>3926</v>
      </c>
      <c r="AA127" s="12" t="s">
        <v>3926</v>
      </c>
      <c r="AB127" s="25">
        <v>5</v>
      </c>
      <c r="AC127" s="25">
        <v>1</v>
      </c>
      <c r="AD127" s="25">
        <v>0</v>
      </c>
      <c r="AE127" s="25">
        <v>4</v>
      </c>
      <c r="AF127" s="25">
        <v>0</v>
      </c>
      <c r="AG127" s="25">
        <v>0</v>
      </c>
      <c r="AH127" s="25">
        <v>0</v>
      </c>
      <c r="AI127" s="12">
        <v>0.01</v>
      </c>
      <c r="AJ127" s="25">
        <v>13925</v>
      </c>
      <c r="AK127" s="25">
        <v>601</v>
      </c>
      <c r="AL127" s="33">
        <v>4.5100000000000001E-2</v>
      </c>
      <c r="AM127" s="3" t="s">
        <v>6231</v>
      </c>
      <c r="AN127" s="12" t="s">
        <v>7110</v>
      </c>
      <c r="AO127" s="12" t="s">
        <v>7110</v>
      </c>
      <c r="AP127" s="12" t="str">
        <f>"784527698240817"</f>
        <v>784527698240817</v>
      </c>
      <c r="AQ127" s="12" t="s">
        <v>7111</v>
      </c>
      <c r="AR127" s="12" t="s">
        <v>3145</v>
      </c>
      <c r="AS127" s="12" t="s">
        <v>7112</v>
      </c>
      <c r="AT127" s="12" t="s">
        <v>7113</v>
      </c>
      <c r="AU127" s="12" t="s">
        <v>309</v>
      </c>
      <c r="AV127" s="12"/>
      <c r="AW127" s="12"/>
      <c r="AX127" s="12">
        <v>0</v>
      </c>
      <c r="AY127" s="12">
        <v>15</v>
      </c>
      <c r="AZ127" s="12">
        <v>0</v>
      </c>
      <c r="BA127" s="12" t="s">
        <v>7114</v>
      </c>
      <c r="BB127" s="12" t="s">
        <v>7115</v>
      </c>
      <c r="BC127" s="12" t="s">
        <v>7116</v>
      </c>
      <c r="BD127" s="12"/>
      <c r="BE127" s="12" t="s">
        <v>2291</v>
      </c>
      <c r="BF127" s="12"/>
      <c r="BG127" s="12"/>
      <c r="BH127" s="12"/>
      <c r="BI127" s="12"/>
      <c r="BJ127" s="12"/>
      <c r="BK127" s="12"/>
      <c r="BL127" s="12" t="s">
        <v>2292</v>
      </c>
      <c r="BM127" s="12" t="s">
        <v>2292</v>
      </c>
      <c r="BN127" s="12" t="s">
        <v>2292</v>
      </c>
      <c r="BO127" s="12" t="s">
        <v>2292</v>
      </c>
      <c r="BP127" s="12"/>
      <c r="BQ127" s="12"/>
      <c r="BR127" s="12"/>
      <c r="BS127" s="12"/>
      <c r="BT127" s="12" t="s">
        <v>7117</v>
      </c>
      <c r="BU127" s="12"/>
      <c r="BV127" s="12"/>
      <c r="BW127" s="12" t="s">
        <v>7118</v>
      </c>
      <c r="BX127" s="12"/>
      <c r="BY127" s="13"/>
      <c r="BZ127" s="13" t="s">
        <v>312</v>
      </c>
      <c r="CA127" s="13"/>
      <c r="CB127" s="13"/>
      <c r="CC127" s="13"/>
      <c r="CD127" s="13"/>
      <c r="CE127" s="13"/>
      <c r="CF127" s="13"/>
    </row>
    <row r="128" spans="1:2328" ht="18.600000000000001" customHeight="1" x14ac:dyDescent="0.25">
      <c r="A128" s="60" t="s">
        <v>41</v>
      </c>
      <c r="B128" s="2" t="s">
        <v>314</v>
      </c>
      <c r="C128" s="3" t="s">
        <v>6093</v>
      </c>
      <c r="D128" s="12" t="s">
        <v>3144</v>
      </c>
      <c r="E128" s="12" t="s">
        <v>6154</v>
      </c>
      <c r="F128" s="12" t="s">
        <v>6163</v>
      </c>
      <c r="G128" s="25">
        <v>2688</v>
      </c>
      <c r="H128" s="25">
        <v>2146</v>
      </c>
      <c r="I128" s="25">
        <v>253</v>
      </c>
      <c r="J128" s="25">
        <v>254</v>
      </c>
      <c r="K128" s="25">
        <v>422</v>
      </c>
      <c r="L128" s="25">
        <v>444</v>
      </c>
      <c r="M128" s="25">
        <v>866</v>
      </c>
      <c r="N128" s="31">
        <v>0.49</v>
      </c>
      <c r="O128" s="25">
        <v>0</v>
      </c>
      <c r="P128" s="25">
        <v>0</v>
      </c>
      <c r="Q128" s="25">
        <v>28</v>
      </c>
      <c r="R128" s="25">
        <v>4</v>
      </c>
      <c r="S128" s="25">
        <v>1</v>
      </c>
      <c r="T128" s="25">
        <v>2</v>
      </c>
      <c r="U128" s="61">
        <v>0</v>
      </c>
      <c r="V128" s="58">
        <v>1.8E-3</v>
      </c>
      <c r="W128" s="33">
        <v>1.8E-3</v>
      </c>
      <c r="X128" s="33">
        <v>6.9999999999999999E-4</v>
      </c>
      <c r="Y128" s="33">
        <v>1.1999999999999999E-3</v>
      </c>
      <c r="Z128" s="33">
        <v>4.7000000000000002E-3</v>
      </c>
      <c r="AA128" s="12" t="s">
        <v>3926</v>
      </c>
      <c r="AB128" s="25">
        <v>144</v>
      </c>
      <c r="AC128" s="25">
        <v>119</v>
      </c>
      <c r="AD128" s="25">
        <v>6</v>
      </c>
      <c r="AE128" s="25">
        <v>18</v>
      </c>
      <c r="AF128" s="25">
        <v>1</v>
      </c>
      <c r="AG128" s="25">
        <v>0</v>
      </c>
      <c r="AH128" s="25">
        <v>0</v>
      </c>
      <c r="AI128" s="12">
        <v>0.33</v>
      </c>
      <c r="AJ128" s="25">
        <v>12400</v>
      </c>
      <c r="AK128" s="25">
        <v>0</v>
      </c>
      <c r="AL128" s="31">
        <v>0</v>
      </c>
      <c r="AM128" s="3" t="s">
        <v>6093</v>
      </c>
      <c r="AN128" s="12" t="s">
        <v>6154</v>
      </c>
      <c r="AO128" s="12" t="s">
        <v>6154</v>
      </c>
      <c r="AP128" s="12" t="str">
        <f>"1517270458584084"</f>
        <v>1517270458584084</v>
      </c>
      <c r="AQ128" s="12" t="s">
        <v>3144</v>
      </c>
      <c r="AR128" s="12"/>
      <c r="AS128" s="12"/>
      <c r="AT128" s="12"/>
      <c r="AU128" s="12" t="s">
        <v>324</v>
      </c>
      <c r="AV128" s="12"/>
      <c r="AW128" s="12"/>
      <c r="AX128" s="12">
        <v>0</v>
      </c>
      <c r="AY128" s="12">
        <v>448</v>
      </c>
      <c r="AZ128" s="12">
        <v>0</v>
      </c>
      <c r="BA128" s="12" t="s">
        <v>6155</v>
      </c>
      <c r="BB128" s="12"/>
      <c r="BC128" s="12" t="s">
        <v>7258</v>
      </c>
      <c r="BD128" s="12"/>
      <c r="BE128" s="12" t="s">
        <v>2291</v>
      </c>
      <c r="BF128" s="12"/>
      <c r="BG128" s="12"/>
      <c r="BH128" s="12"/>
      <c r="BI128" s="12"/>
      <c r="BJ128" s="12"/>
      <c r="BK128" s="12"/>
      <c r="BL128" s="12" t="s">
        <v>2292</v>
      </c>
      <c r="BM128" s="12" t="s">
        <v>2292</v>
      </c>
      <c r="BN128" s="12" t="s">
        <v>2292</v>
      </c>
      <c r="BO128" s="12" t="s">
        <v>2292</v>
      </c>
      <c r="BP128" s="12"/>
      <c r="BQ128" s="12"/>
      <c r="BR128" s="12"/>
      <c r="BS128" s="12"/>
      <c r="BT128" s="12"/>
      <c r="BU128" s="12"/>
      <c r="BV128" s="12"/>
      <c r="BW128" s="12"/>
      <c r="BX128" s="12"/>
      <c r="BY128" s="13" t="s">
        <v>313</v>
      </c>
      <c r="BZ128" s="13" t="s">
        <v>6172</v>
      </c>
      <c r="CA128" s="13" t="s">
        <v>6170</v>
      </c>
      <c r="CB128" s="13" t="s">
        <v>312</v>
      </c>
      <c r="CC128" s="13"/>
      <c r="CD128" s="13" t="s">
        <v>6198</v>
      </c>
      <c r="CE128" s="13"/>
      <c r="CF128" s="13"/>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c r="IT128" s="26"/>
      <c r="IU128" s="26"/>
      <c r="IV128" s="26"/>
      <c r="IW128" s="26"/>
      <c r="IX128" s="26"/>
      <c r="IY128" s="26"/>
      <c r="IZ128" s="26"/>
      <c r="JA128" s="26"/>
      <c r="JB128" s="26"/>
      <c r="JC128" s="26"/>
      <c r="JD128" s="26"/>
      <c r="JE128" s="26"/>
      <c r="JF128" s="26"/>
      <c r="JG128" s="26"/>
      <c r="JH128" s="26"/>
      <c r="JI128" s="26"/>
      <c r="JJ128" s="26"/>
      <c r="JK128" s="26"/>
      <c r="JL128" s="26"/>
      <c r="JM128" s="26"/>
      <c r="JN128" s="26"/>
      <c r="JO128" s="26"/>
      <c r="JP128" s="26"/>
      <c r="JQ128" s="26"/>
      <c r="JR128" s="26"/>
      <c r="JS128" s="26"/>
      <c r="JT128" s="26"/>
      <c r="JU128" s="26"/>
      <c r="JV128" s="26"/>
      <c r="JW128" s="26"/>
      <c r="JX128" s="26"/>
      <c r="JY128" s="26"/>
      <c r="JZ128" s="26"/>
      <c r="KA128" s="26"/>
      <c r="KB128" s="26"/>
      <c r="KC128" s="26"/>
      <c r="KD128" s="26"/>
      <c r="KE128" s="26"/>
      <c r="KF128" s="26"/>
      <c r="KG128" s="26"/>
      <c r="KH128" s="26"/>
      <c r="KI128" s="26"/>
      <c r="KJ128" s="26"/>
      <c r="KK128" s="26"/>
      <c r="KL128" s="26"/>
      <c r="KM128" s="26"/>
      <c r="KN128" s="26"/>
      <c r="KO128" s="26"/>
      <c r="KP128" s="26"/>
      <c r="KQ128" s="26"/>
      <c r="KR128" s="26"/>
      <c r="KS128" s="26"/>
      <c r="KT128" s="26"/>
      <c r="KU128" s="26"/>
      <c r="KV128" s="26"/>
      <c r="KW128" s="26"/>
      <c r="KX128" s="26"/>
      <c r="KY128" s="26"/>
      <c r="KZ128" s="26"/>
      <c r="LA128" s="26"/>
      <c r="LB128" s="26"/>
      <c r="LC128" s="26"/>
      <c r="LD128" s="26"/>
      <c r="LE128" s="26"/>
      <c r="LF128" s="26"/>
      <c r="LG128" s="26"/>
      <c r="LH128" s="26"/>
      <c r="LI128" s="26"/>
      <c r="LJ128" s="26"/>
      <c r="LK128" s="26"/>
      <c r="LL128" s="26"/>
      <c r="LM128" s="26"/>
      <c r="LN128" s="26"/>
      <c r="LO128" s="26"/>
      <c r="LP128" s="26"/>
      <c r="LQ128" s="26"/>
      <c r="LR128" s="26"/>
      <c r="LS128" s="26"/>
      <c r="LT128" s="26"/>
      <c r="LU128" s="26"/>
      <c r="LV128" s="26"/>
      <c r="LW128" s="26"/>
      <c r="LX128" s="26"/>
      <c r="LY128" s="26"/>
      <c r="LZ128" s="26"/>
      <c r="MA128" s="26"/>
      <c r="MB128" s="26"/>
      <c r="MC128" s="26"/>
      <c r="MD128" s="26"/>
      <c r="ME128" s="26"/>
      <c r="MF128" s="26"/>
      <c r="MG128" s="26"/>
      <c r="MH128" s="26"/>
      <c r="MI128" s="26"/>
      <c r="MJ128" s="26"/>
      <c r="MK128" s="26"/>
      <c r="ML128" s="26"/>
      <c r="MM128" s="26"/>
      <c r="MN128" s="26"/>
      <c r="MO128" s="26"/>
      <c r="MP128" s="26"/>
      <c r="MQ128" s="26"/>
      <c r="MR128" s="26"/>
      <c r="MS128" s="26"/>
      <c r="MT128" s="26"/>
      <c r="MU128" s="26"/>
      <c r="MV128" s="26"/>
      <c r="MW128" s="26"/>
      <c r="MX128" s="26"/>
      <c r="MY128" s="26"/>
      <c r="MZ128" s="26"/>
      <c r="NA128" s="26"/>
      <c r="NB128" s="26"/>
      <c r="NC128" s="26"/>
      <c r="ND128" s="26"/>
      <c r="NE128" s="26"/>
      <c r="NF128" s="26"/>
      <c r="NG128" s="26"/>
      <c r="NH128" s="26"/>
      <c r="NI128" s="26"/>
      <c r="NJ128" s="26"/>
      <c r="NK128" s="26"/>
      <c r="NL128" s="26"/>
      <c r="NM128" s="26"/>
      <c r="NN128" s="26"/>
      <c r="NO128" s="26"/>
      <c r="NP128" s="26"/>
      <c r="NQ128" s="26"/>
      <c r="NR128" s="26"/>
      <c r="NS128" s="26"/>
      <c r="NT128" s="26"/>
      <c r="NU128" s="26"/>
      <c r="NV128" s="26"/>
      <c r="NW128" s="26"/>
      <c r="NX128" s="26"/>
      <c r="NY128" s="26"/>
      <c r="NZ128" s="26"/>
      <c r="OA128" s="26"/>
      <c r="OB128" s="26"/>
      <c r="OC128" s="26"/>
      <c r="OD128" s="26"/>
      <c r="OE128" s="26"/>
      <c r="OF128" s="26"/>
      <c r="OG128" s="26"/>
      <c r="OH128" s="26"/>
      <c r="OI128" s="26"/>
      <c r="OJ128" s="26"/>
      <c r="OK128" s="26"/>
      <c r="OL128" s="26"/>
      <c r="OM128" s="26"/>
      <c r="ON128" s="26"/>
      <c r="OO128" s="26"/>
      <c r="OP128" s="26"/>
      <c r="OQ128" s="26"/>
      <c r="OR128" s="26"/>
      <c r="OS128" s="26"/>
      <c r="OT128" s="26"/>
      <c r="OU128" s="26"/>
      <c r="OV128" s="26"/>
      <c r="OW128" s="26"/>
      <c r="OX128" s="26"/>
      <c r="OY128" s="26"/>
      <c r="OZ128" s="26"/>
      <c r="PA128" s="26"/>
      <c r="PB128" s="26"/>
      <c r="PC128" s="26"/>
      <c r="PD128" s="26"/>
      <c r="PE128" s="26"/>
      <c r="PF128" s="26"/>
      <c r="PG128" s="26"/>
      <c r="PH128" s="26"/>
      <c r="PI128" s="26"/>
      <c r="PJ128" s="26"/>
      <c r="PK128" s="26"/>
      <c r="PL128" s="26"/>
      <c r="PM128" s="26"/>
      <c r="PN128" s="26"/>
      <c r="PO128" s="26"/>
      <c r="PP128" s="26"/>
      <c r="PQ128" s="26"/>
      <c r="PR128" s="26"/>
      <c r="PS128" s="26"/>
      <c r="PT128" s="26"/>
      <c r="PU128" s="26"/>
      <c r="PV128" s="26"/>
      <c r="PW128" s="26"/>
      <c r="PX128" s="26"/>
      <c r="PY128" s="26"/>
      <c r="PZ128" s="26"/>
      <c r="QA128" s="26"/>
      <c r="QB128" s="26"/>
      <c r="QC128" s="26"/>
      <c r="QD128" s="26"/>
      <c r="QE128" s="26"/>
      <c r="QF128" s="26"/>
      <c r="QG128" s="26"/>
      <c r="QH128" s="26"/>
      <c r="QI128" s="26"/>
      <c r="QJ128" s="26"/>
      <c r="QK128" s="26"/>
      <c r="QL128" s="26"/>
      <c r="QM128" s="26"/>
      <c r="QN128" s="26"/>
      <c r="QO128" s="26"/>
      <c r="QP128" s="26"/>
      <c r="QQ128" s="26"/>
      <c r="QR128" s="26"/>
      <c r="QS128" s="26"/>
      <c r="QT128" s="26"/>
      <c r="QU128" s="26"/>
      <c r="QV128" s="26"/>
      <c r="QW128" s="26"/>
      <c r="QX128" s="26"/>
      <c r="QY128" s="26"/>
      <c r="QZ128" s="26"/>
      <c r="RA128" s="26"/>
      <c r="RB128" s="26"/>
      <c r="RC128" s="26"/>
      <c r="RD128" s="26"/>
      <c r="RE128" s="26"/>
      <c r="RF128" s="26"/>
      <c r="RG128" s="26"/>
      <c r="RH128" s="26"/>
      <c r="RI128" s="26"/>
      <c r="RJ128" s="26"/>
      <c r="RK128" s="26"/>
      <c r="RL128" s="26"/>
      <c r="RM128" s="26"/>
      <c r="RN128" s="26"/>
      <c r="RO128" s="26"/>
      <c r="RP128" s="26"/>
      <c r="RQ128" s="26"/>
      <c r="RR128" s="26"/>
      <c r="RS128" s="26"/>
      <c r="RT128" s="26"/>
      <c r="RU128" s="26"/>
      <c r="RV128" s="26"/>
      <c r="RW128" s="26"/>
      <c r="RX128" s="26"/>
      <c r="RY128" s="26"/>
      <c r="RZ128" s="26"/>
      <c r="SA128" s="26"/>
      <c r="SB128" s="26"/>
      <c r="SC128" s="26"/>
      <c r="SD128" s="26"/>
      <c r="SE128" s="26"/>
      <c r="SF128" s="26"/>
      <c r="SG128" s="26"/>
      <c r="SH128" s="26"/>
      <c r="SI128" s="26"/>
      <c r="SJ128" s="26"/>
      <c r="SK128" s="26"/>
      <c r="SL128" s="26"/>
      <c r="SM128" s="26"/>
      <c r="SN128" s="26"/>
      <c r="SO128" s="26"/>
      <c r="SP128" s="26"/>
      <c r="SQ128" s="26"/>
      <c r="SR128" s="26"/>
      <c r="SS128" s="26"/>
      <c r="ST128" s="26"/>
      <c r="SU128" s="26"/>
      <c r="SV128" s="26"/>
      <c r="SW128" s="26"/>
      <c r="SX128" s="26"/>
      <c r="SY128" s="26"/>
      <c r="SZ128" s="26"/>
      <c r="TA128" s="26"/>
      <c r="TB128" s="26"/>
      <c r="TC128" s="26"/>
      <c r="TD128" s="26"/>
      <c r="TE128" s="26"/>
      <c r="TF128" s="26"/>
      <c r="TG128" s="26"/>
      <c r="TH128" s="26"/>
      <c r="TI128" s="26"/>
      <c r="TJ128" s="26"/>
      <c r="TK128" s="26"/>
      <c r="TL128" s="26"/>
      <c r="TM128" s="26"/>
      <c r="TN128" s="26"/>
      <c r="TO128" s="26"/>
      <c r="TP128" s="26"/>
      <c r="TQ128" s="26"/>
      <c r="TR128" s="26"/>
      <c r="TS128" s="26"/>
      <c r="TT128" s="26"/>
      <c r="TU128" s="26"/>
      <c r="TV128" s="26"/>
      <c r="TW128" s="26"/>
      <c r="TX128" s="26"/>
      <c r="TY128" s="26"/>
      <c r="TZ128" s="26"/>
      <c r="UA128" s="26"/>
      <c r="UB128" s="26"/>
      <c r="UC128" s="26"/>
      <c r="UD128" s="26"/>
      <c r="UE128" s="26"/>
      <c r="UF128" s="26"/>
      <c r="UG128" s="26"/>
      <c r="UH128" s="26"/>
      <c r="UI128" s="26"/>
      <c r="UJ128" s="26"/>
      <c r="UK128" s="26"/>
      <c r="UL128" s="26"/>
      <c r="UM128" s="26"/>
      <c r="UN128" s="26"/>
      <c r="UO128" s="26"/>
      <c r="UP128" s="26"/>
      <c r="UQ128" s="26"/>
      <c r="UR128" s="26"/>
      <c r="US128" s="26"/>
      <c r="UT128" s="26"/>
      <c r="UU128" s="26"/>
      <c r="UV128" s="26"/>
      <c r="UW128" s="26"/>
      <c r="UX128" s="26"/>
      <c r="UY128" s="26"/>
      <c r="UZ128" s="26"/>
      <c r="VA128" s="26"/>
      <c r="VB128" s="26"/>
      <c r="VC128" s="26"/>
      <c r="VD128" s="26"/>
      <c r="VE128" s="26"/>
      <c r="VF128" s="26"/>
      <c r="VG128" s="26"/>
      <c r="VH128" s="26"/>
      <c r="VI128" s="26"/>
      <c r="VJ128" s="26"/>
      <c r="VK128" s="26"/>
      <c r="VL128" s="26"/>
      <c r="VM128" s="26"/>
      <c r="VN128" s="26"/>
      <c r="VO128" s="26"/>
      <c r="VP128" s="26"/>
      <c r="VQ128" s="26"/>
      <c r="VR128" s="26"/>
      <c r="VS128" s="26"/>
      <c r="VT128" s="26"/>
      <c r="VU128" s="26"/>
      <c r="VV128" s="26"/>
      <c r="VW128" s="26"/>
      <c r="VX128" s="26"/>
      <c r="VY128" s="26"/>
      <c r="VZ128" s="26"/>
      <c r="WA128" s="26"/>
      <c r="WB128" s="26"/>
      <c r="WC128" s="26"/>
      <c r="WD128" s="26"/>
      <c r="WE128" s="26"/>
      <c r="WF128" s="26"/>
      <c r="WG128" s="26"/>
      <c r="WH128" s="26"/>
      <c r="WI128" s="26"/>
      <c r="WJ128" s="26"/>
      <c r="WK128" s="26"/>
      <c r="WL128" s="26"/>
      <c r="WM128" s="26"/>
      <c r="WN128" s="26"/>
      <c r="WO128" s="26"/>
      <c r="WP128" s="26"/>
      <c r="WQ128" s="26"/>
      <c r="WR128" s="26"/>
      <c r="WS128" s="26"/>
      <c r="WT128" s="26"/>
      <c r="WU128" s="26"/>
      <c r="WV128" s="26"/>
      <c r="WW128" s="26"/>
      <c r="WX128" s="26"/>
      <c r="WY128" s="26"/>
      <c r="WZ128" s="26"/>
      <c r="XA128" s="26"/>
      <c r="XB128" s="26"/>
      <c r="XC128" s="26"/>
      <c r="XD128" s="26"/>
      <c r="XE128" s="26"/>
      <c r="XF128" s="26"/>
      <c r="XG128" s="26"/>
      <c r="XH128" s="26"/>
      <c r="XI128" s="26"/>
      <c r="XJ128" s="26"/>
      <c r="XK128" s="26"/>
      <c r="XL128" s="26"/>
      <c r="XM128" s="26"/>
      <c r="XN128" s="26"/>
      <c r="XO128" s="26"/>
      <c r="XP128" s="26"/>
      <c r="XQ128" s="26"/>
      <c r="XR128" s="26"/>
      <c r="XS128" s="26"/>
      <c r="XT128" s="26"/>
      <c r="XU128" s="26"/>
      <c r="XV128" s="26"/>
      <c r="XW128" s="26"/>
      <c r="XX128" s="26"/>
      <c r="XY128" s="26"/>
      <c r="XZ128" s="26"/>
      <c r="YA128" s="26"/>
      <c r="YB128" s="26"/>
      <c r="YC128" s="26"/>
      <c r="YD128" s="26"/>
      <c r="YE128" s="26"/>
      <c r="YF128" s="26"/>
      <c r="YG128" s="26"/>
      <c r="YH128" s="26"/>
      <c r="YI128" s="26"/>
      <c r="YJ128" s="26"/>
      <c r="YK128" s="26"/>
      <c r="YL128" s="26"/>
      <c r="YM128" s="26"/>
      <c r="YN128" s="26"/>
      <c r="YO128" s="26"/>
      <c r="YP128" s="26"/>
      <c r="YQ128" s="26"/>
      <c r="YR128" s="26"/>
      <c r="YS128" s="26"/>
      <c r="YT128" s="26"/>
      <c r="YU128" s="26"/>
      <c r="YV128" s="26"/>
      <c r="YW128" s="26"/>
      <c r="YX128" s="26"/>
      <c r="YY128" s="26"/>
      <c r="YZ128" s="26"/>
      <c r="ZA128" s="26"/>
      <c r="ZB128" s="26"/>
      <c r="ZC128" s="26"/>
      <c r="ZD128" s="26"/>
      <c r="ZE128" s="26"/>
      <c r="ZF128" s="26"/>
      <c r="ZG128" s="26"/>
      <c r="ZH128" s="26"/>
      <c r="ZI128" s="26"/>
      <c r="ZJ128" s="26"/>
      <c r="ZK128" s="26"/>
      <c r="ZL128" s="26"/>
      <c r="ZM128" s="26"/>
      <c r="ZN128" s="26"/>
      <c r="ZO128" s="26"/>
      <c r="ZP128" s="26"/>
      <c r="ZQ128" s="26"/>
      <c r="ZR128" s="26"/>
      <c r="ZS128" s="26"/>
      <c r="ZT128" s="26"/>
      <c r="ZU128" s="26"/>
      <c r="ZV128" s="26"/>
      <c r="ZW128" s="26"/>
      <c r="ZX128" s="26"/>
      <c r="ZY128" s="26"/>
      <c r="ZZ128" s="26"/>
      <c r="AAA128" s="26"/>
      <c r="AAB128" s="26"/>
      <c r="AAC128" s="26"/>
      <c r="AAD128" s="26"/>
      <c r="AAE128" s="26"/>
      <c r="AAF128" s="26"/>
      <c r="AAG128" s="26"/>
      <c r="AAH128" s="26"/>
      <c r="AAI128" s="26"/>
      <c r="AAJ128" s="26"/>
      <c r="AAK128" s="26"/>
      <c r="AAL128" s="26"/>
      <c r="AAM128" s="26"/>
      <c r="AAN128" s="26"/>
      <c r="AAO128" s="26"/>
      <c r="AAP128" s="26"/>
      <c r="AAQ128" s="26"/>
      <c r="AAR128" s="26"/>
      <c r="AAS128" s="26"/>
      <c r="AAT128" s="26"/>
      <c r="AAU128" s="26"/>
      <c r="AAV128" s="26"/>
      <c r="AAW128" s="26"/>
      <c r="AAX128" s="26"/>
      <c r="AAY128" s="26"/>
      <c r="AAZ128" s="26"/>
      <c r="ABA128" s="26"/>
      <c r="ABB128" s="26"/>
      <c r="ABC128" s="26"/>
      <c r="ABD128" s="26"/>
      <c r="ABE128" s="26"/>
      <c r="ABF128" s="26"/>
      <c r="ABG128" s="26"/>
      <c r="ABH128" s="26"/>
      <c r="ABI128" s="26"/>
      <c r="ABJ128" s="26"/>
      <c r="ABK128" s="26"/>
      <c r="ABL128" s="26"/>
      <c r="ABM128" s="26"/>
      <c r="ABN128" s="26"/>
      <c r="ABO128" s="26"/>
      <c r="ABP128" s="26"/>
      <c r="ABQ128" s="26"/>
      <c r="ABR128" s="26"/>
      <c r="ABS128" s="26"/>
      <c r="ABT128" s="26"/>
      <c r="ABU128" s="26"/>
      <c r="ABV128" s="26"/>
      <c r="ABW128" s="26"/>
      <c r="ABX128" s="26"/>
      <c r="ABY128" s="26"/>
      <c r="ABZ128" s="26"/>
      <c r="ACA128" s="26"/>
      <c r="ACB128" s="26"/>
      <c r="ACC128" s="26"/>
      <c r="ACD128" s="26"/>
      <c r="ACE128" s="26"/>
      <c r="ACF128" s="26"/>
      <c r="ACG128" s="26"/>
      <c r="ACH128" s="26"/>
      <c r="ACI128" s="26"/>
      <c r="ACJ128" s="26"/>
      <c r="ACK128" s="26"/>
      <c r="ACL128" s="26"/>
      <c r="ACM128" s="26"/>
      <c r="ACN128" s="26"/>
      <c r="ACO128" s="26"/>
      <c r="ACP128" s="26"/>
      <c r="ACQ128" s="26"/>
      <c r="ACR128" s="26"/>
      <c r="ACS128" s="26"/>
      <c r="ACT128" s="26"/>
      <c r="ACU128" s="26"/>
      <c r="ACV128" s="26"/>
      <c r="ACW128" s="26"/>
      <c r="ACX128" s="26"/>
      <c r="ACY128" s="26"/>
      <c r="ACZ128" s="26"/>
      <c r="ADA128" s="26"/>
      <c r="ADB128" s="26"/>
      <c r="ADC128" s="26"/>
      <c r="ADD128" s="26"/>
      <c r="ADE128" s="26"/>
      <c r="ADF128" s="26"/>
      <c r="ADG128" s="26"/>
      <c r="ADH128" s="26"/>
      <c r="ADI128" s="26"/>
      <c r="ADJ128" s="26"/>
      <c r="ADK128" s="26"/>
      <c r="ADL128" s="26"/>
      <c r="ADM128" s="26"/>
      <c r="ADN128" s="26"/>
      <c r="ADO128" s="26"/>
      <c r="ADP128" s="26"/>
      <c r="ADQ128" s="26"/>
      <c r="ADR128" s="26"/>
      <c r="ADS128" s="26"/>
      <c r="ADT128" s="26"/>
      <c r="ADU128" s="26"/>
      <c r="ADV128" s="26"/>
      <c r="ADW128" s="26"/>
      <c r="ADX128" s="26"/>
      <c r="ADY128" s="26"/>
      <c r="ADZ128" s="26"/>
      <c r="AEA128" s="26"/>
      <c r="AEB128" s="26"/>
      <c r="AEC128" s="26"/>
      <c r="AED128" s="26"/>
      <c r="AEE128" s="26"/>
      <c r="AEF128" s="26"/>
      <c r="AEG128" s="26"/>
      <c r="AEH128" s="26"/>
      <c r="AEI128" s="26"/>
      <c r="AEJ128" s="26"/>
      <c r="AEK128" s="26"/>
      <c r="AEL128" s="26"/>
      <c r="AEM128" s="26"/>
      <c r="AEN128" s="26"/>
      <c r="AEO128" s="26"/>
      <c r="AEP128" s="26"/>
      <c r="AEQ128" s="26"/>
      <c r="AER128" s="26"/>
      <c r="AES128" s="26"/>
      <c r="AET128" s="26"/>
      <c r="AEU128" s="26"/>
      <c r="AEV128" s="26"/>
      <c r="AEW128" s="26"/>
      <c r="AEX128" s="26"/>
      <c r="AEY128" s="26"/>
      <c r="AEZ128" s="26"/>
      <c r="AFA128" s="26"/>
      <c r="AFB128" s="26"/>
      <c r="AFC128" s="26"/>
      <c r="AFD128" s="26"/>
      <c r="AFE128" s="26"/>
      <c r="AFF128" s="26"/>
      <c r="AFG128" s="26"/>
      <c r="AFH128" s="26"/>
      <c r="AFI128" s="26"/>
      <c r="AFJ128" s="26"/>
      <c r="AFK128" s="26"/>
      <c r="AFL128" s="26"/>
      <c r="AFM128" s="26"/>
      <c r="AFN128" s="26"/>
      <c r="AFO128" s="26"/>
      <c r="AFP128" s="26"/>
      <c r="AFQ128" s="26"/>
      <c r="AFR128" s="26"/>
      <c r="AFS128" s="26"/>
      <c r="AFT128" s="26"/>
      <c r="AFU128" s="26"/>
      <c r="AFV128" s="26"/>
      <c r="AFW128" s="26"/>
      <c r="AFX128" s="26"/>
      <c r="AFY128" s="26"/>
      <c r="AFZ128" s="26"/>
      <c r="AGA128" s="26"/>
      <c r="AGB128" s="26"/>
      <c r="AGC128" s="26"/>
      <c r="AGD128" s="26"/>
      <c r="AGE128" s="26"/>
      <c r="AGF128" s="26"/>
      <c r="AGG128" s="26"/>
      <c r="AGH128" s="26"/>
      <c r="AGI128" s="26"/>
      <c r="AGJ128" s="26"/>
      <c r="AGK128" s="26"/>
      <c r="AGL128" s="26"/>
      <c r="AGM128" s="26"/>
      <c r="AGN128" s="26"/>
      <c r="AGO128" s="26"/>
      <c r="AGP128" s="26"/>
      <c r="AGQ128" s="26"/>
      <c r="AGR128" s="26"/>
      <c r="AGS128" s="26"/>
      <c r="AGT128" s="26"/>
      <c r="AGU128" s="26"/>
      <c r="AGV128" s="26"/>
      <c r="AGW128" s="26"/>
      <c r="AGX128" s="26"/>
      <c r="AGY128" s="26"/>
      <c r="AGZ128" s="26"/>
      <c r="AHA128" s="26"/>
      <c r="AHB128" s="26"/>
      <c r="AHC128" s="26"/>
      <c r="AHD128" s="26"/>
      <c r="AHE128" s="26"/>
      <c r="AHF128" s="26"/>
      <c r="AHG128" s="26"/>
      <c r="AHH128" s="26"/>
      <c r="AHI128" s="26"/>
      <c r="AHJ128" s="26"/>
      <c r="AHK128" s="26"/>
      <c r="AHL128" s="26"/>
      <c r="AHM128" s="26"/>
      <c r="AHN128" s="26"/>
      <c r="AHO128" s="26"/>
      <c r="AHP128" s="26"/>
      <c r="AHQ128" s="26"/>
      <c r="AHR128" s="26"/>
      <c r="AHS128" s="26"/>
      <c r="AHT128" s="26"/>
      <c r="AHU128" s="26"/>
      <c r="AHV128" s="26"/>
      <c r="AHW128" s="26"/>
      <c r="AHX128" s="26"/>
      <c r="AHY128" s="26"/>
      <c r="AHZ128" s="26"/>
      <c r="AIA128" s="26"/>
      <c r="AIB128" s="26"/>
      <c r="AIC128" s="26"/>
      <c r="AID128" s="26"/>
      <c r="AIE128" s="26"/>
      <c r="AIF128" s="26"/>
      <c r="AIG128" s="26"/>
      <c r="AIH128" s="26"/>
      <c r="AII128" s="26"/>
      <c r="AIJ128" s="26"/>
      <c r="AIK128" s="26"/>
      <c r="AIL128" s="26"/>
      <c r="AIM128" s="26"/>
      <c r="AIN128" s="26"/>
      <c r="AIO128" s="26"/>
      <c r="AIP128" s="26"/>
      <c r="AIQ128" s="26"/>
      <c r="AIR128" s="26"/>
      <c r="AIS128" s="26"/>
      <c r="AIT128" s="26"/>
      <c r="AIU128" s="26"/>
      <c r="AIV128" s="26"/>
      <c r="AIW128" s="26"/>
      <c r="AIX128" s="26"/>
      <c r="AIY128" s="26"/>
      <c r="AIZ128" s="26"/>
      <c r="AJA128" s="26"/>
      <c r="AJB128" s="26"/>
      <c r="AJC128" s="26"/>
      <c r="AJD128" s="26"/>
      <c r="AJE128" s="26"/>
      <c r="AJF128" s="26"/>
      <c r="AJG128" s="26"/>
      <c r="AJH128" s="26"/>
      <c r="AJI128" s="26"/>
      <c r="AJJ128" s="26"/>
      <c r="AJK128" s="26"/>
      <c r="AJL128" s="26"/>
      <c r="AJM128" s="26"/>
      <c r="AJN128" s="26"/>
      <c r="AJO128" s="26"/>
      <c r="AJP128" s="26"/>
      <c r="AJQ128" s="26"/>
      <c r="AJR128" s="26"/>
      <c r="AJS128" s="26"/>
      <c r="AJT128" s="26"/>
      <c r="AJU128" s="26"/>
      <c r="AJV128" s="26"/>
      <c r="AJW128" s="26"/>
      <c r="AJX128" s="26"/>
      <c r="AJY128" s="26"/>
      <c r="AJZ128" s="26"/>
      <c r="AKA128" s="26"/>
      <c r="AKB128" s="26"/>
      <c r="AKC128" s="26"/>
      <c r="AKD128" s="26"/>
      <c r="AKE128" s="26"/>
      <c r="AKF128" s="26"/>
      <c r="AKG128" s="26"/>
      <c r="AKH128" s="26"/>
      <c r="AKI128" s="26"/>
      <c r="AKJ128" s="26"/>
      <c r="AKK128" s="26"/>
      <c r="AKL128" s="26"/>
      <c r="AKM128" s="26"/>
      <c r="AKN128" s="26"/>
      <c r="AKO128" s="26"/>
      <c r="AKP128" s="26"/>
      <c r="AKQ128" s="26"/>
      <c r="AKR128" s="26"/>
      <c r="AKS128" s="26"/>
      <c r="AKT128" s="26"/>
      <c r="AKU128" s="26"/>
      <c r="AKV128" s="26"/>
      <c r="AKW128" s="26"/>
      <c r="AKX128" s="26"/>
      <c r="AKY128" s="26"/>
      <c r="AKZ128" s="26"/>
      <c r="ALA128" s="26"/>
      <c r="ALB128" s="26"/>
      <c r="ALC128" s="26"/>
      <c r="ALD128" s="26"/>
      <c r="ALE128" s="26"/>
      <c r="ALF128" s="26"/>
      <c r="ALG128" s="26"/>
      <c r="ALH128" s="26"/>
      <c r="ALI128" s="26"/>
      <c r="ALJ128" s="26"/>
      <c r="ALK128" s="26"/>
      <c r="ALL128" s="26"/>
      <c r="ALM128" s="26"/>
      <c r="ALN128" s="26"/>
      <c r="ALO128" s="26"/>
      <c r="ALP128" s="26"/>
      <c r="ALQ128" s="26"/>
      <c r="ALR128" s="26"/>
      <c r="ALS128" s="26"/>
      <c r="ALT128" s="26"/>
      <c r="ALU128" s="26"/>
      <c r="ALV128" s="26"/>
      <c r="ALW128" s="26"/>
      <c r="ALX128" s="26"/>
      <c r="ALY128" s="26"/>
      <c r="ALZ128" s="26"/>
      <c r="AMA128" s="26"/>
      <c r="AMB128" s="26"/>
      <c r="AMC128" s="26"/>
      <c r="AMD128" s="26"/>
      <c r="AME128" s="26"/>
      <c r="AMF128" s="26"/>
      <c r="AMG128" s="26"/>
      <c r="AMH128" s="26"/>
      <c r="AMI128" s="26"/>
      <c r="AMJ128" s="26"/>
      <c r="AMK128" s="26"/>
      <c r="AML128" s="26"/>
      <c r="AMM128" s="26"/>
      <c r="AMN128" s="26"/>
      <c r="AMO128" s="26"/>
      <c r="AMP128" s="26"/>
      <c r="AMQ128" s="26"/>
      <c r="AMR128" s="26"/>
      <c r="AMS128" s="26"/>
      <c r="AMT128" s="26"/>
      <c r="AMU128" s="26"/>
      <c r="AMV128" s="26"/>
      <c r="AMW128" s="26"/>
      <c r="AMX128" s="26"/>
      <c r="AMY128" s="26"/>
      <c r="AMZ128" s="26"/>
      <c r="ANA128" s="26"/>
      <c r="ANB128" s="26"/>
      <c r="ANC128" s="26"/>
      <c r="AND128" s="26"/>
      <c r="ANE128" s="26"/>
      <c r="ANF128" s="26"/>
      <c r="ANG128" s="26"/>
      <c r="ANH128" s="26"/>
      <c r="ANI128" s="26"/>
      <c r="ANJ128" s="26"/>
      <c r="ANK128" s="26"/>
      <c r="ANL128" s="26"/>
      <c r="ANM128" s="26"/>
      <c r="ANN128" s="26"/>
      <c r="ANO128" s="26"/>
      <c r="ANP128" s="26"/>
      <c r="ANQ128" s="26"/>
      <c r="ANR128" s="26"/>
      <c r="ANS128" s="26"/>
      <c r="ANT128" s="26"/>
      <c r="ANU128" s="26"/>
      <c r="ANV128" s="26"/>
      <c r="ANW128" s="26"/>
      <c r="ANX128" s="26"/>
      <c r="ANY128" s="26"/>
      <c r="ANZ128" s="26"/>
      <c r="AOA128" s="26"/>
      <c r="AOB128" s="26"/>
      <c r="AOC128" s="26"/>
      <c r="AOD128" s="26"/>
      <c r="AOE128" s="26"/>
      <c r="AOF128" s="26"/>
      <c r="AOG128" s="26"/>
      <c r="AOH128" s="26"/>
      <c r="AOI128" s="26"/>
      <c r="AOJ128" s="26"/>
      <c r="AOK128" s="26"/>
      <c r="AOL128" s="26"/>
      <c r="AOM128" s="26"/>
      <c r="AON128" s="26"/>
      <c r="AOO128" s="26"/>
      <c r="AOP128" s="26"/>
      <c r="AOQ128" s="26"/>
      <c r="AOR128" s="26"/>
      <c r="AOS128" s="26"/>
      <c r="AOT128" s="26"/>
      <c r="AOU128" s="26"/>
      <c r="AOV128" s="26"/>
      <c r="AOW128" s="26"/>
      <c r="AOX128" s="26"/>
      <c r="AOY128" s="26"/>
      <c r="AOZ128" s="26"/>
      <c r="APA128" s="26"/>
      <c r="APB128" s="26"/>
      <c r="APC128" s="26"/>
      <c r="APD128" s="26"/>
      <c r="APE128" s="26"/>
      <c r="APF128" s="26"/>
      <c r="APG128" s="26"/>
      <c r="APH128" s="26"/>
      <c r="API128" s="26"/>
      <c r="APJ128" s="26"/>
      <c r="APK128" s="26"/>
      <c r="APL128" s="26"/>
      <c r="APM128" s="26"/>
      <c r="APN128" s="26"/>
      <c r="APO128" s="26"/>
      <c r="APP128" s="26"/>
      <c r="APQ128" s="26"/>
      <c r="APR128" s="26"/>
      <c r="APS128" s="26"/>
      <c r="APT128" s="26"/>
      <c r="APU128" s="26"/>
      <c r="APV128" s="26"/>
      <c r="APW128" s="26"/>
      <c r="APX128" s="26"/>
      <c r="APY128" s="26"/>
      <c r="APZ128" s="26"/>
      <c r="AQA128" s="26"/>
      <c r="AQB128" s="26"/>
      <c r="AQC128" s="26"/>
      <c r="AQD128" s="26"/>
      <c r="AQE128" s="26"/>
      <c r="AQF128" s="26"/>
      <c r="AQG128" s="26"/>
      <c r="AQH128" s="26"/>
      <c r="AQI128" s="26"/>
      <c r="AQJ128" s="26"/>
      <c r="AQK128" s="26"/>
      <c r="AQL128" s="26"/>
      <c r="AQM128" s="26"/>
      <c r="AQN128" s="26"/>
      <c r="AQO128" s="26"/>
      <c r="AQP128" s="26"/>
      <c r="AQQ128" s="26"/>
      <c r="AQR128" s="26"/>
      <c r="AQS128" s="26"/>
      <c r="AQT128" s="26"/>
      <c r="AQU128" s="26"/>
      <c r="AQV128" s="26"/>
      <c r="AQW128" s="26"/>
      <c r="AQX128" s="26"/>
      <c r="AQY128" s="26"/>
      <c r="AQZ128" s="26"/>
      <c r="ARA128" s="26"/>
      <c r="ARB128" s="26"/>
      <c r="ARC128" s="26"/>
      <c r="ARD128" s="26"/>
      <c r="ARE128" s="26"/>
      <c r="ARF128" s="26"/>
      <c r="ARG128" s="26"/>
      <c r="ARH128" s="26"/>
      <c r="ARI128" s="26"/>
      <c r="ARJ128" s="26"/>
      <c r="ARK128" s="26"/>
      <c r="ARL128" s="26"/>
      <c r="ARM128" s="26"/>
      <c r="ARN128" s="26"/>
      <c r="ARO128" s="26"/>
      <c r="ARP128" s="26"/>
      <c r="ARQ128" s="26"/>
      <c r="ARR128" s="26"/>
      <c r="ARS128" s="26"/>
      <c r="ART128" s="26"/>
      <c r="ARU128" s="26"/>
      <c r="ARV128" s="26"/>
      <c r="ARW128" s="26"/>
      <c r="ARX128" s="26"/>
      <c r="ARY128" s="26"/>
      <c r="ARZ128" s="26"/>
      <c r="ASA128" s="26"/>
      <c r="ASB128" s="26"/>
      <c r="ASC128" s="26"/>
      <c r="ASD128" s="26"/>
      <c r="ASE128" s="26"/>
      <c r="ASF128" s="26"/>
      <c r="ASG128" s="26"/>
      <c r="ASH128" s="26"/>
      <c r="ASI128" s="26"/>
      <c r="ASJ128" s="26"/>
      <c r="ASK128" s="26"/>
      <c r="ASL128" s="26"/>
      <c r="ASM128" s="26"/>
      <c r="ASN128" s="26"/>
      <c r="ASO128" s="26"/>
      <c r="ASP128" s="26"/>
      <c r="ASQ128" s="26"/>
      <c r="ASR128" s="26"/>
      <c r="ASS128" s="26"/>
      <c r="AST128" s="26"/>
      <c r="ASU128" s="26"/>
      <c r="ASV128" s="26"/>
      <c r="ASW128" s="26"/>
      <c r="ASX128" s="26"/>
      <c r="ASY128" s="26"/>
      <c r="ASZ128" s="26"/>
      <c r="ATA128" s="26"/>
      <c r="ATB128" s="26"/>
      <c r="ATC128" s="26"/>
      <c r="ATD128" s="26"/>
      <c r="ATE128" s="26"/>
      <c r="ATF128" s="26"/>
      <c r="ATG128" s="26"/>
      <c r="ATH128" s="26"/>
      <c r="ATI128" s="26"/>
      <c r="ATJ128" s="26"/>
      <c r="ATK128" s="26"/>
      <c r="ATL128" s="26"/>
      <c r="ATM128" s="26"/>
      <c r="ATN128" s="26"/>
      <c r="ATO128" s="26"/>
      <c r="ATP128" s="26"/>
      <c r="ATQ128" s="26"/>
      <c r="ATR128" s="26"/>
      <c r="ATS128" s="26"/>
      <c r="ATT128" s="26"/>
      <c r="ATU128" s="26"/>
      <c r="ATV128" s="26"/>
      <c r="ATW128" s="26"/>
      <c r="ATX128" s="26"/>
      <c r="ATY128" s="26"/>
      <c r="ATZ128" s="26"/>
      <c r="AUA128" s="26"/>
      <c r="AUB128" s="26"/>
      <c r="AUC128" s="26"/>
      <c r="AUD128" s="26"/>
      <c r="AUE128" s="26"/>
      <c r="AUF128" s="26"/>
      <c r="AUG128" s="26"/>
      <c r="AUH128" s="26"/>
      <c r="AUI128" s="26"/>
      <c r="AUJ128" s="26"/>
      <c r="AUK128" s="26"/>
      <c r="AUL128" s="26"/>
      <c r="AUM128" s="26"/>
      <c r="AUN128" s="26"/>
      <c r="AUO128" s="26"/>
      <c r="AUP128" s="26"/>
      <c r="AUQ128" s="26"/>
      <c r="AUR128" s="26"/>
      <c r="AUS128" s="26"/>
      <c r="AUT128" s="26"/>
      <c r="AUU128" s="26"/>
      <c r="AUV128" s="26"/>
      <c r="AUW128" s="26"/>
      <c r="AUX128" s="26"/>
      <c r="AUY128" s="26"/>
      <c r="AUZ128" s="26"/>
      <c r="AVA128" s="26"/>
      <c r="AVB128" s="26"/>
      <c r="AVC128" s="26"/>
      <c r="AVD128" s="26"/>
      <c r="AVE128" s="26"/>
      <c r="AVF128" s="26"/>
      <c r="AVG128" s="26"/>
      <c r="AVH128" s="26"/>
      <c r="AVI128" s="26"/>
      <c r="AVJ128" s="26"/>
      <c r="AVK128" s="26"/>
      <c r="AVL128" s="26"/>
      <c r="AVM128" s="26"/>
      <c r="AVN128" s="26"/>
      <c r="AVO128" s="26"/>
      <c r="AVP128" s="26"/>
      <c r="AVQ128" s="26"/>
      <c r="AVR128" s="26"/>
      <c r="AVS128" s="26"/>
      <c r="AVT128" s="26"/>
      <c r="AVU128" s="26"/>
      <c r="AVV128" s="26"/>
      <c r="AVW128" s="26"/>
      <c r="AVX128" s="26"/>
      <c r="AVY128" s="26"/>
      <c r="AVZ128" s="26"/>
      <c r="AWA128" s="26"/>
      <c r="AWB128" s="26"/>
      <c r="AWC128" s="26"/>
      <c r="AWD128" s="26"/>
      <c r="AWE128" s="26"/>
      <c r="AWF128" s="26"/>
      <c r="AWG128" s="26"/>
      <c r="AWH128" s="26"/>
      <c r="AWI128" s="26"/>
      <c r="AWJ128" s="26"/>
      <c r="AWK128" s="26"/>
      <c r="AWL128" s="26"/>
      <c r="AWM128" s="26"/>
      <c r="AWN128" s="26"/>
      <c r="AWO128" s="26"/>
      <c r="AWP128" s="26"/>
      <c r="AWQ128" s="26"/>
      <c r="AWR128" s="26"/>
      <c r="AWS128" s="26"/>
      <c r="AWT128" s="26"/>
      <c r="AWU128" s="26"/>
      <c r="AWV128" s="26"/>
      <c r="AWW128" s="26"/>
      <c r="AWX128" s="26"/>
      <c r="AWY128" s="26"/>
      <c r="AWZ128" s="26"/>
      <c r="AXA128" s="26"/>
      <c r="AXB128" s="26"/>
      <c r="AXC128" s="26"/>
      <c r="AXD128" s="26"/>
      <c r="AXE128" s="26"/>
      <c r="AXF128" s="26"/>
      <c r="AXG128" s="26"/>
      <c r="AXH128" s="26"/>
      <c r="AXI128" s="26"/>
      <c r="AXJ128" s="26"/>
      <c r="AXK128" s="26"/>
      <c r="AXL128" s="26"/>
      <c r="AXM128" s="26"/>
      <c r="AXN128" s="26"/>
      <c r="AXO128" s="26"/>
      <c r="AXP128" s="26"/>
      <c r="AXQ128" s="26"/>
      <c r="AXR128" s="26"/>
      <c r="AXS128" s="26"/>
      <c r="AXT128" s="26"/>
      <c r="AXU128" s="26"/>
      <c r="AXV128" s="26"/>
      <c r="AXW128" s="26"/>
      <c r="AXX128" s="26"/>
      <c r="AXY128" s="26"/>
      <c r="AXZ128" s="26"/>
      <c r="AYA128" s="26"/>
      <c r="AYB128" s="26"/>
      <c r="AYC128" s="26"/>
      <c r="AYD128" s="26"/>
      <c r="AYE128" s="26"/>
      <c r="AYF128" s="26"/>
      <c r="AYG128" s="26"/>
      <c r="AYH128" s="26"/>
      <c r="AYI128" s="26"/>
      <c r="AYJ128" s="26"/>
      <c r="AYK128" s="26"/>
      <c r="AYL128" s="26"/>
      <c r="AYM128" s="26"/>
      <c r="AYN128" s="26"/>
      <c r="AYO128" s="26"/>
      <c r="AYP128" s="26"/>
      <c r="AYQ128" s="26"/>
      <c r="AYR128" s="26"/>
      <c r="AYS128" s="26"/>
      <c r="AYT128" s="26"/>
      <c r="AYU128" s="26"/>
      <c r="AYV128" s="26"/>
      <c r="AYW128" s="26"/>
      <c r="AYX128" s="26"/>
      <c r="AYY128" s="26"/>
      <c r="AYZ128" s="26"/>
      <c r="AZA128" s="26"/>
      <c r="AZB128" s="26"/>
      <c r="AZC128" s="26"/>
      <c r="AZD128" s="26"/>
      <c r="AZE128" s="26"/>
      <c r="AZF128" s="26"/>
      <c r="AZG128" s="26"/>
      <c r="AZH128" s="26"/>
      <c r="AZI128" s="26"/>
      <c r="AZJ128" s="26"/>
      <c r="AZK128" s="26"/>
      <c r="AZL128" s="26"/>
      <c r="AZM128" s="26"/>
      <c r="AZN128" s="26"/>
      <c r="AZO128" s="26"/>
      <c r="AZP128" s="26"/>
      <c r="AZQ128" s="26"/>
      <c r="AZR128" s="26"/>
      <c r="AZS128" s="26"/>
      <c r="AZT128" s="26"/>
      <c r="AZU128" s="26"/>
      <c r="AZV128" s="26"/>
      <c r="AZW128" s="26"/>
      <c r="AZX128" s="26"/>
      <c r="AZY128" s="26"/>
      <c r="AZZ128" s="26"/>
      <c r="BAA128" s="26"/>
      <c r="BAB128" s="26"/>
      <c r="BAC128" s="26"/>
      <c r="BAD128" s="26"/>
      <c r="BAE128" s="26"/>
      <c r="BAF128" s="26"/>
      <c r="BAG128" s="26"/>
      <c r="BAH128" s="26"/>
      <c r="BAI128" s="26"/>
      <c r="BAJ128" s="26"/>
      <c r="BAK128" s="26"/>
      <c r="BAL128" s="26"/>
      <c r="BAM128" s="26"/>
      <c r="BAN128" s="26"/>
      <c r="BAO128" s="26"/>
      <c r="BAP128" s="26"/>
      <c r="BAQ128" s="26"/>
      <c r="BAR128" s="26"/>
      <c r="BAS128" s="26"/>
      <c r="BAT128" s="26"/>
      <c r="BAU128" s="26"/>
      <c r="BAV128" s="26"/>
      <c r="BAW128" s="26"/>
      <c r="BAX128" s="26"/>
      <c r="BAY128" s="26"/>
      <c r="BAZ128" s="26"/>
      <c r="BBA128" s="26"/>
      <c r="BBB128" s="26"/>
      <c r="BBC128" s="26"/>
      <c r="BBD128" s="26"/>
      <c r="BBE128" s="26"/>
      <c r="BBF128" s="26"/>
      <c r="BBG128" s="26"/>
      <c r="BBH128" s="26"/>
      <c r="BBI128" s="26"/>
      <c r="BBJ128" s="26"/>
      <c r="BBK128" s="26"/>
      <c r="BBL128" s="26"/>
      <c r="BBM128" s="26"/>
      <c r="BBN128" s="26"/>
      <c r="BBO128" s="26"/>
      <c r="BBP128" s="26"/>
      <c r="BBQ128" s="26"/>
      <c r="BBR128" s="26"/>
      <c r="BBS128" s="26"/>
      <c r="BBT128" s="26"/>
      <c r="BBU128" s="26"/>
      <c r="BBV128" s="26"/>
      <c r="BBW128" s="26"/>
      <c r="BBX128" s="26"/>
      <c r="BBY128" s="26"/>
      <c r="BBZ128" s="26"/>
      <c r="BCA128" s="26"/>
      <c r="BCB128" s="26"/>
      <c r="BCC128" s="26"/>
      <c r="BCD128" s="26"/>
      <c r="BCE128" s="26"/>
      <c r="BCF128" s="26"/>
      <c r="BCG128" s="26"/>
      <c r="BCH128" s="26"/>
      <c r="BCI128" s="26"/>
      <c r="BCJ128" s="26"/>
      <c r="BCK128" s="26"/>
      <c r="BCL128" s="26"/>
      <c r="BCM128" s="26"/>
      <c r="BCN128" s="26"/>
      <c r="BCO128" s="26"/>
      <c r="BCP128" s="26"/>
      <c r="BCQ128" s="26"/>
      <c r="BCR128" s="26"/>
      <c r="BCS128" s="26"/>
      <c r="BCT128" s="26"/>
      <c r="BCU128" s="26"/>
      <c r="BCV128" s="26"/>
      <c r="BCW128" s="26"/>
      <c r="BCX128" s="26"/>
      <c r="BCY128" s="26"/>
      <c r="BCZ128" s="26"/>
      <c r="BDA128" s="26"/>
      <c r="BDB128" s="26"/>
      <c r="BDC128" s="26"/>
      <c r="BDD128" s="26"/>
      <c r="BDE128" s="26"/>
      <c r="BDF128" s="26"/>
      <c r="BDG128" s="26"/>
      <c r="BDH128" s="26"/>
      <c r="BDI128" s="26"/>
      <c r="BDJ128" s="26"/>
      <c r="BDK128" s="26"/>
      <c r="BDL128" s="26"/>
      <c r="BDM128" s="26"/>
      <c r="BDN128" s="26"/>
      <c r="BDO128" s="26"/>
      <c r="BDP128" s="26"/>
      <c r="BDQ128" s="26"/>
      <c r="BDR128" s="26"/>
      <c r="BDS128" s="26"/>
      <c r="BDT128" s="26"/>
      <c r="BDU128" s="26"/>
      <c r="BDV128" s="26"/>
      <c r="BDW128" s="26"/>
      <c r="BDX128" s="26"/>
      <c r="BDY128" s="26"/>
      <c r="BDZ128" s="26"/>
      <c r="BEA128" s="26"/>
      <c r="BEB128" s="26"/>
      <c r="BEC128" s="26"/>
      <c r="BED128" s="26"/>
      <c r="BEE128" s="26"/>
      <c r="BEF128" s="26"/>
      <c r="BEG128" s="26"/>
      <c r="BEH128" s="26"/>
      <c r="BEI128" s="26"/>
      <c r="BEJ128" s="26"/>
      <c r="BEK128" s="26"/>
      <c r="BEL128" s="26"/>
      <c r="BEM128" s="26"/>
      <c r="BEN128" s="26"/>
      <c r="BEO128" s="26"/>
      <c r="BEP128" s="26"/>
      <c r="BEQ128" s="26"/>
      <c r="BER128" s="26"/>
      <c r="BES128" s="26"/>
      <c r="BET128" s="26"/>
      <c r="BEU128" s="26"/>
      <c r="BEV128" s="26"/>
      <c r="BEW128" s="26"/>
      <c r="BEX128" s="26"/>
      <c r="BEY128" s="26"/>
      <c r="BEZ128" s="26"/>
      <c r="BFA128" s="26"/>
      <c r="BFB128" s="26"/>
      <c r="BFC128" s="26"/>
      <c r="BFD128" s="26"/>
      <c r="BFE128" s="26"/>
      <c r="BFF128" s="26"/>
      <c r="BFG128" s="26"/>
      <c r="BFH128" s="26"/>
      <c r="BFI128" s="26"/>
      <c r="BFJ128" s="26"/>
      <c r="BFK128" s="26"/>
      <c r="BFL128" s="26"/>
      <c r="BFM128" s="26"/>
      <c r="BFN128" s="26"/>
      <c r="BFO128" s="26"/>
      <c r="BFP128" s="26"/>
      <c r="BFQ128" s="26"/>
      <c r="BFR128" s="26"/>
      <c r="BFS128" s="26"/>
      <c r="BFT128" s="26"/>
      <c r="BFU128" s="26"/>
      <c r="BFV128" s="26"/>
      <c r="BFW128" s="26"/>
      <c r="BFX128" s="26"/>
      <c r="BFY128" s="26"/>
      <c r="BFZ128" s="26"/>
      <c r="BGA128" s="26"/>
      <c r="BGB128" s="26"/>
      <c r="BGC128" s="26"/>
      <c r="BGD128" s="26"/>
      <c r="BGE128" s="26"/>
      <c r="BGF128" s="26"/>
      <c r="BGG128" s="26"/>
      <c r="BGH128" s="26"/>
      <c r="BGI128" s="26"/>
      <c r="BGJ128" s="26"/>
      <c r="BGK128" s="26"/>
      <c r="BGL128" s="26"/>
      <c r="BGM128" s="26"/>
      <c r="BGN128" s="26"/>
      <c r="BGO128" s="26"/>
      <c r="BGP128" s="26"/>
      <c r="BGQ128" s="26"/>
      <c r="BGR128" s="26"/>
      <c r="BGS128" s="26"/>
      <c r="BGT128" s="26"/>
      <c r="BGU128" s="26"/>
      <c r="BGV128" s="26"/>
      <c r="BGW128" s="26"/>
      <c r="BGX128" s="26"/>
      <c r="BGY128" s="26"/>
      <c r="BGZ128" s="26"/>
      <c r="BHA128" s="26"/>
      <c r="BHB128" s="26"/>
      <c r="BHC128" s="26"/>
      <c r="BHD128" s="26"/>
      <c r="BHE128" s="26"/>
      <c r="BHF128" s="26"/>
      <c r="BHG128" s="26"/>
      <c r="BHH128" s="26"/>
      <c r="BHI128" s="26"/>
      <c r="BHJ128" s="26"/>
      <c r="BHK128" s="26"/>
      <c r="BHL128" s="26"/>
      <c r="BHM128" s="26"/>
      <c r="BHN128" s="26"/>
      <c r="BHO128" s="26"/>
      <c r="BHP128" s="26"/>
      <c r="BHQ128" s="26"/>
      <c r="BHR128" s="26"/>
      <c r="BHS128" s="26"/>
      <c r="BHT128" s="26"/>
      <c r="BHU128" s="26"/>
      <c r="BHV128" s="26"/>
      <c r="BHW128" s="26"/>
      <c r="BHX128" s="26"/>
      <c r="BHY128" s="26"/>
      <c r="BHZ128" s="26"/>
      <c r="BIA128" s="26"/>
      <c r="BIB128" s="26"/>
      <c r="BIC128" s="26"/>
      <c r="BID128" s="26"/>
      <c r="BIE128" s="26"/>
      <c r="BIF128" s="26"/>
      <c r="BIG128" s="26"/>
      <c r="BIH128" s="26"/>
      <c r="BII128" s="26"/>
      <c r="BIJ128" s="26"/>
      <c r="BIK128" s="26"/>
      <c r="BIL128" s="26"/>
      <c r="BIM128" s="26"/>
      <c r="BIN128" s="26"/>
      <c r="BIO128" s="26"/>
      <c r="BIP128" s="26"/>
      <c r="BIQ128" s="26"/>
      <c r="BIR128" s="26"/>
      <c r="BIS128" s="26"/>
      <c r="BIT128" s="26"/>
      <c r="BIU128" s="26"/>
      <c r="BIV128" s="26"/>
      <c r="BIW128" s="26"/>
      <c r="BIX128" s="26"/>
      <c r="BIY128" s="26"/>
      <c r="BIZ128" s="26"/>
      <c r="BJA128" s="26"/>
      <c r="BJB128" s="26"/>
      <c r="BJC128" s="26"/>
      <c r="BJD128" s="26"/>
      <c r="BJE128" s="26"/>
      <c r="BJF128" s="26"/>
      <c r="BJG128" s="26"/>
      <c r="BJH128" s="26"/>
      <c r="BJI128" s="26"/>
      <c r="BJJ128" s="26"/>
      <c r="BJK128" s="26"/>
      <c r="BJL128" s="26"/>
      <c r="BJM128" s="26"/>
      <c r="BJN128" s="26"/>
      <c r="BJO128" s="26"/>
      <c r="BJP128" s="26"/>
      <c r="BJQ128" s="26"/>
      <c r="BJR128" s="26"/>
      <c r="BJS128" s="26"/>
      <c r="BJT128" s="26"/>
      <c r="BJU128" s="26"/>
      <c r="BJV128" s="26"/>
      <c r="BJW128" s="26"/>
      <c r="BJX128" s="26"/>
      <c r="BJY128" s="26"/>
      <c r="BJZ128" s="26"/>
      <c r="BKA128" s="26"/>
      <c r="BKB128" s="26"/>
      <c r="BKC128" s="26"/>
      <c r="BKD128" s="26"/>
      <c r="BKE128" s="26"/>
      <c r="BKF128" s="26"/>
      <c r="BKG128" s="26"/>
      <c r="BKH128" s="26"/>
      <c r="BKI128" s="26"/>
      <c r="BKJ128" s="26"/>
      <c r="BKK128" s="26"/>
      <c r="BKL128" s="26"/>
      <c r="BKM128" s="26"/>
      <c r="BKN128" s="26"/>
      <c r="BKO128" s="26"/>
      <c r="BKP128" s="26"/>
      <c r="BKQ128" s="26"/>
      <c r="BKR128" s="26"/>
      <c r="BKS128" s="26"/>
      <c r="BKT128" s="26"/>
      <c r="BKU128" s="26"/>
      <c r="BKV128" s="26"/>
      <c r="BKW128" s="26"/>
      <c r="BKX128" s="26"/>
      <c r="BKY128" s="26"/>
      <c r="BKZ128" s="26"/>
      <c r="BLA128" s="26"/>
      <c r="BLB128" s="26"/>
      <c r="BLC128" s="26"/>
      <c r="BLD128" s="26"/>
      <c r="BLE128" s="26"/>
      <c r="BLF128" s="26"/>
      <c r="BLG128" s="26"/>
      <c r="BLH128" s="26"/>
      <c r="BLI128" s="26"/>
      <c r="BLJ128" s="26"/>
      <c r="BLK128" s="26"/>
      <c r="BLL128" s="26"/>
      <c r="BLM128" s="26"/>
      <c r="BLN128" s="26"/>
      <c r="BLO128" s="26"/>
      <c r="BLP128" s="26"/>
      <c r="BLQ128" s="26"/>
      <c r="BLR128" s="26"/>
      <c r="BLS128" s="26"/>
      <c r="BLT128" s="26"/>
      <c r="BLU128" s="26"/>
      <c r="BLV128" s="26"/>
      <c r="BLW128" s="26"/>
      <c r="BLX128" s="26"/>
      <c r="BLY128" s="26"/>
      <c r="BLZ128" s="26"/>
      <c r="BMA128" s="26"/>
      <c r="BMB128" s="26"/>
      <c r="BMC128" s="26"/>
      <c r="BMD128" s="26"/>
      <c r="BME128" s="26"/>
      <c r="BMF128" s="26"/>
      <c r="BMG128" s="26"/>
      <c r="BMH128" s="26"/>
      <c r="BMI128" s="26"/>
      <c r="BMJ128" s="26"/>
      <c r="BMK128" s="26"/>
      <c r="BML128" s="26"/>
      <c r="BMM128" s="26"/>
      <c r="BMN128" s="26"/>
      <c r="BMO128" s="26"/>
      <c r="BMP128" s="26"/>
      <c r="BMQ128" s="26"/>
      <c r="BMR128" s="26"/>
      <c r="BMS128" s="26"/>
      <c r="BMT128" s="26"/>
      <c r="BMU128" s="26"/>
      <c r="BMV128" s="26"/>
      <c r="BMW128" s="26"/>
      <c r="BMX128" s="26"/>
      <c r="BMY128" s="26"/>
      <c r="BMZ128" s="26"/>
      <c r="BNA128" s="26"/>
      <c r="BNB128" s="26"/>
      <c r="BNC128" s="26"/>
      <c r="BND128" s="26"/>
      <c r="BNE128" s="26"/>
      <c r="BNF128" s="26"/>
      <c r="BNG128" s="26"/>
      <c r="BNH128" s="26"/>
      <c r="BNI128" s="26"/>
      <c r="BNJ128" s="26"/>
      <c r="BNK128" s="26"/>
      <c r="BNL128" s="26"/>
      <c r="BNM128" s="26"/>
      <c r="BNN128" s="26"/>
      <c r="BNO128" s="26"/>
      <c r="BNP128" s="26"/>
      <c r="BNQ128" s="26"/>
      <c r="BNR128" s="26"/>
      <c r="BNS128" s="26"/>
      <c r="BNT128" s="26"/>
      <c r="BNU128" s="26"/>
      <c r="BNV128" s="26"/>
      <c r="BNW128" s="26"/>
      <c r="BNX128" s="26"/>
      <c r="BNY128" s="26"/>
      <c r="BNZ128" s="26"/>
      <c r="BOA128" s="26"/>
      <c r="BOB128" s="26"/>
      <c r="BOC128" s="26"/>
      <c r="BOD128" s="26"/>
      <c r="BOE128" s="26"/>
      <c r="BOF128" s="26"/>
      <c r="BOG128" s="26"/>
      <c r="BOH128" s="26"/>
      <c r="BOI128" s="26"/>
      <c r="BOJ128" s="26"/>
      <c r="BOK128" s="26"/>
      <c r="BOL128" s="26"/>
      <c r="BOM128" s="26"/>
      <c r="BON128" s="26"/>
      <c r="BOO128" s="26"/>
      <c r="BOP128" s="26"/>
      <c r="BOQ128" s="26"/>
      <c r="BOR128" s="26"/>
      <c r="BOS128" s="26"/>
      <c r="BOT128" s="26"/>
      <c r="BOU128" s="26"/>
      <c r="BOV128" s="26"/>
      <c r="BOW128" s="26"/>
      <c r="BOX128" s="26"/>
      <c r="BOY128" s="26"/>
      <c r="BOZ128" s="26"/>
      <c r="BPA128" s="26"/>
      <c r="BPB128" s="26"/>
      <c r="BPC128" s="26"/>
      <c r="BPD128" s="26"/>
      <c r="BPE128" s="26"/>
      <c r="BPF128" s="26"/>
      <c r="BPG128" s="26"/>
      <c r="BPH128" s="26"/>
      <c r="BPI128" s="26"/>
      <c r="BPJ128" s="26"/>
      <c r="BPK128" s="26"/>
      <c r="BPL128" s="26"/>
      <c r="BPM128" s="26"/>
      <c r="BPN128" s="26"/>
      <c r="BPO128" s="26"/>
      <c r="BPP128" s="26"/>
      <c r="BPQ128" s="26"/>
      <c r="BPR128" s="26"/>
      <c r="BPS128" s="26"/>
      <c r="BPT128" s="26"/>
      <c r="BPU128" s="26"/>
      <c r="BPV128" s="26"/>
      <c r="BPW128" s="26"/>
      <c r="BPX128" s="26"/>
      <c r="BPY128" s="26"/>
      <c r="BPZ128" s="26"/>
      <c r="BQA128" s="26"/>
      <c r="BQB128" s="26"/>
      <c r="BQC128" s="26"/>
      <c r="BQD128" s="26"/>
      <c r="BQE128" s="26"/>
      <c r="BQF128" s="26"/>
      <c r="BQG128" s="26"/>
      <c r="BQH128" s="26"/>
      <c r="BQI128" s="26"/>
      <c r="BQJ128" s="26"/>
      <c r="BQK128" s="26"/>
      <c r="BQL128" s="26"/>
      <c r="BQM128" s="26"/>
      <c r="BQN128" s="26"/>
      <c r="BQO128" s="26"/>
      <c r="BQP128" s="26"/>
      <c r="BQQ128" s="26"/>
      <c r="BQR128" s="26"/>
      <c r="BQS128" s="26"/>
      <c r="BQT128" s="26"/>
      <c r="BQU128" s="26"/>
      <c r="BQV128" s="26"/>
      <c r="BQW128" s="26"/>
      <c r="BQX128" s="26"/>
      <c r="BQY128" s="26"/>
      <c r="BQZ128" s="26"/>
      <c r="BRA128" s="26"/>
      <c r="BRB128" s="26"/>
      <c r="BRC128" s="26"/>
      <c r="BRD128" s="26"/>
      <c r="BRE128" s="26"/>
      <c r="BRF128" s="26"/>
      <c r="BRG128" s="26"/>
      <c r="BRH128" s="26"/>
      <c r="BRI128" s="26"/>
      <c r="BRJ128" s="26"/>
      <c r="BRK128" s="26"/>
      <c r="BRL128" s="26"/>
      <c r="BRM128" s="26"/>
      <c r="BRN128" s="26"/>
      <c r="BRO128" s="26"/>
      <c r="BRP128" s="26"/>
      <c r="BRQ128" s="26"/>
      <c r="BRR128" s="26"/>
      <c r="BRS128" s="26"/>
      <c r="BRT128" s="26"/>
      <c r="BRU128" s="26"/>
      <c r="BRV128" s="26"/>
      <c r="BRW128" s="26"/>
      <c r="BRX128" s="26"/>
      <c r="BRY128" s="26"/>
      <c r="BRZ128" s="26"/>
      <c r="BSA128" s="26"/>
      <c r="BSB128" s="26"/>
      <c r="BSC128" s="26"/>
      <c r="BSD128" s="26"/>
      <c r="BSE128" s="26"/>
      <c r="BSF128" s="26"/>
      <c r="BSG128" s="26"/>
      <c r="BSH128" s="26"/>
      <c r="BSI128" s="26"/>
      <c r="BSJ128" s="26"/>
      <c r="BSK128" s="26"/>
      <c r="BSL128" s="26"/>
      <c r="BSM128" s="26"/>
      <c r="BSN128" s="26"/>
      <c r="BSO128" s="26"/>
      <c r="BSP128" s="26"/>
      <c r="BSQ128" s="26"/>
      <c r="BSR128" s="26"/>
      <c r="BSS128" s="26"/>
      <c r="BST128" s="26"/>
      <c r="BSU128" s="26"/>
      <c r="BSV128" s="26"/>
      <c r="BSW128" s="26"/>
      <c r="BSX128" s="26"/>
      <c r="BSY128" s="26"/>
      <c r="BSZ128" s="26"/>
      <c r="BTA128" s="26"/>
      <c r="BTB128" s="26"/>
      <c r="BTC128" s="26"/>
      <c r="BTD128" s="26"/>
      <c r="BTE128" s="26"/>
      <c r="BTF128" s="26"/>
      <c r="BTG128" s="26"/>
      <c r="BTH128" s="26"/>
      <c r="BTI128" s="26"/>
      <c r="BTJ128" s="26"/>
      <c r="BTK128" s="26"/>
      <c r="BTL128" s="26"/>
      <c r="BTM128" s="26"/>
      <c r="BTN128" s="26"/>
      <c r="BTO128" s="26"/>
      <c r="BTP128" s="26"/>
      <c r="BTQ128" s="26"/>
      <c r="BTR128" s="26"/>
      <c r="BTS128" s="26"/>
      <c r="BTT128" s="26"/>
      <c r="BTU128" s="26"/>
      <c r="BTV128" s="26"/>
      <c r="BTW128" s="26"/>
      <c r="BTX128" s="26"/>
      <c r="BTY128" s="26"/>
      <c r="BTZ128" s="26"/>
      <c r="BUA128" s="26"/>
      <c r="BUB128" s="26"/>
      <c r="BUC128" s="26"/>
      <c r="BUD128" s="26"/>
      <c r="BUE128" s="26"/>
      <c r="BUF128" s="26"/>
      <c r="BUG128" s="26"/>
      <c r="BUH128" s="26"/>
      <c r="BUI128" s="26"/>
      <c r="BUJ128" s="26"/>
      <c r="BUK128" s="26"/>
      <c r="BUL128" s="26"/>
      <c r="BUM128" s="26"/>
      <c r="BUN128" s="26"/>
      <c r="BUO128" s="26"/>
      <c r="BUP128" s="26"/>
      <c r="BUQ128" s="26"/>
      <c r="BUR128" s="26"/>
      <c r="BUS128" s="26"/>
      <c r="BUT128" s="26"/>
      <c r="BUU128" s="26"/>
      <c r="BUV128" s="26"/>
      <c r="BUW128" s="26"/>
      <c r="BUX128" s="26"/>
      <c r="BUY128" s="26"/>
      <c r="BUZ128" s="26"/>
      <c r="BVA128" s="26"/>
      <c r="BVB128" s="26"/>
      <c r="BVC128" s="26"/>
      <c r="BVD128" s="26"/>
      <c r="BVE128" s="26"/>
      <c r="BVF128" s="26"/>
      <c r="BVG128" s="26"/>
      <c r="BVH128" s="26"/>
      <c r="BVI128" s="26"/>
      <c r="BVJ128" s="26"/>
      <c r="BVK128" s="26"/>
      <c r="BVL128" s="26"/>
      <c r="BVM128" s="26"/>
      <c r="BVN128" s="26"/>
      <c r="BVO128" s="26"/>
      <c r="BVP128" s="26"/>
      <c r="BVQ128" s="26"/>
      <c r="BVR128" s="26"/>
      <c r="BVS128" s="26"/>
      <c r="BVT128" s="26"/>
      <c r="BVU128" s="26"/>
      <c r="BVV128" s="26"/>
      <c r="BVW128" s="26"/>
      <c r="BVX128" s="26"/>
      <c r="BVY128" s="26"/>
      <c r="BVZ128" s="26"/>
      <c r="BWA128" s="26"/>
      <c r="BWB128" s="26"/>
      <c r="BWC128" s="26"/>
      <c r="BWD128" s="26"/>
      <c r="BWE128" s="26"/>
      <c r="BWF128" s="26"/>
      <c r="BWG128" s="26"/>
      <c r="BWH128" s="26"/>
      <c r="BWI128" s="26"/>
      <c r="BWJ128" s="26"/>
      <c r="BWK128" s="26"/>
      <c r="BWL128" s="26"/>
      <c r="BWM128" s="26"/>
      <c r="BWN128" s="26"/>
      <c r="BWO128" s="26"/>
      <c r="BWP128" s="26"/>
      <c r="BWQ128" s="26"/>
      <c r="BWR128" s="26"/>
      <c r="BWS128" s="26"/>
      <c r="BWT128" s="26"/>
      <c r="BWU128" s="26"/>
      <c r="BWV128" s="26"/>
      <c r="BWW128" s="26"/>
      <c r="BWX128" s="26"/>
      <c r="BWY128" s="26"/>
      <c r="BWZ128" s="26"/>
      <c r="BXA128" s="26"/>
      <c r="BXB128" s="26"/>
      <c r="BXC128" s="26"/>
      <c r="BXD128" s="26"/>
      <c r="BXE128" s="26"/>
      <c r="BXF128" s="26"/>
      <c r="BXG128" s="26"/>
      <c r="BXH128" s="26"/>
      <c r="BXI128" s="26"/>
      <c r="BXJ128" s="26"/>
      <c r="BXK128" s="26"/>
      <c r="BXL128" s="26"/>
      <c r="BXM128" s="26"/>
      <c r="BXN128" s="26"/>
      <c r="BXO128" s="26"/>
      <c r="BXP128" s="26"/>
      <c r="BXQ128" s="26"/>
      <c r="BXR128" s="26"/>
      <c r="BXS128" s="26"/>
      <c r="BXT128" s="26"/>
      <c r="BXU128" s="26"/>
      <c r="BXV128" s="26"/>
      <c r="BXW128" s="26"/>
      <c r="BXX128" s="26"/>
      <c r="BXY128" s="26"/>
      <c r="BXZ128" s="26"/>
      <c r="BYA128" s="26"/>
      <c r="BYB128" s="26"/>
      <c r="BYC128" s="26"/>
      <c r="BYD128" s="26"/>
      <c r="BYE128" s="26"/>
      <c r="BYF128" s="26"/>
      <c r="BYG128" s="26"/>
      <c r="BYH128" s="26"/>
      <c r="BYI128" s="26"/>
      <c r="BYJ128" s="26"/>
      <c r="BYK128" s="26"/>
      <c r="BYL128" s="26"/>
      <c r="BYM128" s="26"/>
      <c r="BYN128" s="26"/>
      <c r="BYO128" s="26"/>
      <c r="BYP128" s="26"/>
      <c r="BYQ128" s="26"/>
      <c r="BYR128" s="26"/>
      <c r="BYS128" s="26"/>
      <c r="BYT128" s="26"/>
      <c r="BYU128" s="26"/>
      <c r="BYV128" s="26"/>
      <c r="BYW128" s="26"/>
      <c r="BYX128" s="26"/>
      <c r="BYY128" s="26"/>
      <c r="BYZ128" s="26"/>
      <c r="BZA128" s="26"/>
      <c r="BZB128" s="26"/>
      <c r="BZC128" s="26"/>
      <c r="BZD128" s="26"/>
      <c r="BZE128" s="26"/>
      <c r="BZF128" s="26"/>
      <c r="BZG128" s="26"/>
      <c r="BZH128" s="26"/>
      <c r="BZI128" s="26"/>
      <c r="BZJ128" s="26"/>
      <c r="BZK128" s="26"/>
      <c r="BZL128" s="26"/>
      <c r="BZM128" s="26"/>
      <c r="BZN128" s="26"/>
      <c r="BZO128" s="26"/>
      <c r="BZP128" s="26"/>
      <c r="BZQ128" s="26"/>
      <c r="BZR128" s="26"/>
      <c r="BZS128" s="26"/>
      <c r="BZT128" s="26"/>
      <c r="BZU128" s="26"/>
      <c r="BZV128" s="26"/>
      <c r="BZW128" s="26"/>
      <c r="BZX128" s="26"/>
      <c r="BZY128" s="26"/>
      <c r="BZZ128" s="26"/>
      <c r="CAA128" s="26"/>
      <c r="CAB128" s="26"/>
      <c r="CAC128" s="26"/>
      <c r="CAD128" s="26"/>
      <c r="CAE128" s="26"/>
      <c r="CAF128" s="26"/>
      <c r="CAG128" s="26"/>
      <c r="CAH128" s="26"/>
      <c r="CAI128" s="26"/>
      <c r="CAJ128" s="26"/>
      <c r="CAK128" s="26"/>
      <c r="CAL128" s="26"/>
      <c r="CAM128" s="26"/>
      <c r="CAN128" s="26"/>
      <c r="CAO128" s="26"/>
      <c r="CAP128" s="26"/>
      <c r="CAQ128" s="26"/>
      <c r="CAR128" s="26"/>
      <c r="CAS128" s="26"/>
      <c r="CAT128" s="26"/>
      <c r="CAU128" s="26"/>
      <c r="CAV128" s="26"/>
      <c r="CAW128" s="26"/>
      <c r="CAX128" s="26"/>
      <c r="CAY128" s="26"/>
      <c r="CAZ128" s="26"/>
      <c r="CBA128" s="26"/>
      <c r="CBB128" s="26"/>
      <c r="CBC128" s="26"/>
      <c r="CBD128" s="26"/>
      <c r="CBE128" s="26"/>
      <c r="CBF128" s="26"/>
      <c r="CBG128" s="26"/>
      <c r="CBH128" s="26"/>
      <c r="CBI128" s="26"/>
      <c r="CBJ128" s="26"/>
      <c r="CBK128" s="26"/>
      <c r="CBL128" s="26"/>
      <c r="CBM128" s="26"/>
      <c r="CBN128" s="26"/>
      <c r="CBO128" s="26"/>
      <c r="CBP128" s="26"/>
      <c r="CBQ128" s="26"/>
      <c r="CBR128" s="26"/>
      <c r="CBS128" s="26"/>
      <c r="CBT128" s="26"/>
      <c r="CBU128" s="26"/>
      <c r="CBV128" s="26"/>
      <c r="CBW128" s="26"/>
      <c r="CBX128" s="26"/>
      <c r="CBY128" s="26"/>
      <c r="CBZ128" s="26"/>
      <c r="CCA128" s="26"/>
      <c r="CCB128" s="26"/>
      <c r="CCC128" s="26"/>
      <c r="CCD128" s="26"/>
      <c r="CCE128" s="26"/>
      <c r="CCF128" s="26"/>
      <c r="CCG128" s="26"/>
      <c r="CCH128" s="26"/>
      <c r="CCI128" s="26"/>
      <c r="CCJ128" s="26"/>
      <c r="CCK128" s="26"/>
      <c r="CCL128" s="26"/>
      <c r="CCM128" s="26"/>
      <c r="CCN128" s="26"/>
      <c r="CCO128" s="26"/>
      <c r="CCP128" s="26"/>
      <c r="CCQ128" s="26"/>
      <c r="CCR128" s="26"/>
      <c r="CCS128" s="26"/>
      <c r="CCT128" s="26"/>
      <c r="CCU128" s="26"/>
      <c r="CCV128" s="26"/>
      <c r="CCW128" s="26"/>
      <c r="CCX128" s="26"/>
      <c r="CCY128" s="26"/>
      <c r="CCZ128" s="26"/>
      <c r="CDA128" s="26"/>
      <c r="CDB128" s="26"/>
      <c r="CDC128" s="26"/>
      <c r="CDD128" s="26"/>
      <c r="CDE128" s="26"/>
      <c r="CDF128" s="26"/>
      <c r="CDG128" s="26"/>
      <c r="CDH128" s="26"/>
      <c r="CDI128" s="26"/>
      <c r="CDJ128" s="26"/>
      <c r="CDK128" s="26"/>
      <c r="CDL128" s="26"/>
      <c r="CDM128" s="26"/>
      <c r="CDN128" s="26"/>
      <c r="CDO128" s="26"/>
      <c r="CDP128" s="26"/>
      <c r="CDQ128" s="26"/>
      <c r="CDR128" s="26"/>
      <c r="CDS128" s="26"/>
      <c r="CDT128" s="26"/>
      <c r="CDU128" s="26"/>
      <c r="CDV128" s="26"/>
      <c r="CDW128" s="26"/>
      <c r="CDX128" s="26"/>
      <c r="CDY128" s="26"/>
      <c r="CDZ128" s="26"/>
      <c r="CEA128" s="26"/>
      <c r="CEB128" s="26"/>
      <c r="CEC128" s="26"/>
      <c r="CED128" s="26"/>
      <c r="CEE128" s="26"/>
      <c r="CEF128" s="26"/>
      <c r="CEG128" s="26"/>
      <c r="CEH128" s="26"/>
      <c r="CEI128" s="26"/>
      <c r="CEJ128" s="26"/>
      <c r="CEK128" s="26"/>
      <c r="CEL128" s="26"/>
      <c r="CEM128" s="26"/>
      <c r="CEN128" s="26"/>
      <c r="CEO128" s="26"/>
      <c r="CEP128" s="26"/>
      <c r="CEQ128" s="26"/>
      <c r="CER128" s="26"/>
      <c r="CES128" s="26"/>
      <c r="CET128" s="26"/>
      <c r="CEU128" s="26"/>
      <c r="CEV128" s="26"/>
      <c r="CEW128" s="26"/>
      <c r="CEX128" s="26"/>
      <c r="CEY128" s="26"/>
      <c r="CEZ128" s="26"/>
      <c r="CFA128" s="26"/>
      <c r="CFB128" s="26"/>
      <c r="CFC128" s="26"/>
      <c r="CFD128" s="26"/>
      <c r="CFE128" s="26"/>
      <c r="CFF128" s="26"/>
      <c r="CFG128" s="26"/>
      <c r="CFH128" s="26"/>
      <c r="CFI128" s="26"/>
      <c r="CFJ128" s="26"/>
      <c r="CFK128" s="26"/>
      <c r="CFL128" s="26"/>
      <c r="CFM128" s="26"/>
      <c r="CFN128" s="26"/>
      <c r="CFO128" s="26"/>
      <c r="CFP128" s="26"/>
      <c r="CFQ128" s="26"/>
      <c r="CFR128" s="26"/>
      <c r="CFS128" s="26"/>
      <c r="CFT128" s="26"/>
      <c r="CFU128" s="26"/>
      <c r="CFV128" s="26"/>
      <c r="CFW128" s="26"/>
      <c r="CFX128" s="26"/>
      <c r="CFY128" s="26"/>
      <c r="CFZ128" s="26"/>
      <c r="CGA128" s="26"/>
      <c r="CGB128" s="26"/>
      <c r="CGC128" s="26"/>
      <c r="CGD128" s="26"/>
      <c r="CGE128" s="26"/>
      <c r="CGF128" s="26"/>
      <c r="CGG128" s="26"/>
      <c r="CGH128" s="26"/>
      <c r="CGI128" s="26"/>
      <c r="CGJ128" s="26"/>
      <c r="CGK128" s="26"/>
      <c r="CGL128" s="26"/>
      <c r="CGM128" s="26"/>
      <c r="CGN128" s="26"/>
      <c r="CGO128" s="26"/>
      <c r="CGP128" s="26"/>
      <c r="CGQ128" s="26"/>
      <c r="CGR128" s="26"/>
      <c r="CGS128" s="26"/>
      <c r="CGT128" s="26"/>
      <c r="CGU128" s="26"/>
      <c r="CGV128" s="26"/>
      <c r="CGW128" s="26"/>
      <c r="CGX128" s="26"/>
      <c r="CGY128" s="26"/>
      <c r="CGZ128" s="26"/>
      <c r="CHA128" s="26"/>
      <c r="CHB128" s="26"/>
      <c r="CHC128" s="26"/>
      <c r="CHD128" s="26"/>
      <c r="CHE128" s="26"/>
      <c r="CHF128" s="26"/>
      <c r="CHG128" s="26"/>
      <c r="CHH128" s="26"/>
      <c r="CHI128" s="26"/>
      <c r="CHJ128" s="26"/>
      <c r="CHK128" s="26"/>
      <c r="CHL128" s="26"/>
      <c r="CHM128" s="26"/>
      <c r="CHN128" s="26"/>
      <c r="CHO128" s="26"/>
      <c r="CHP128" s="26"/>
      <c r="CHQ128" s="26"/>
      <c r="CHR128" s="26"/>
      <c r="CHS128" s="26"/>
      <c r="CHT128" s="26"/>
      <c r="CHU128" s="26"/>
      <c r="CHV128" s="26"/>
      <c r="CHW128" s="26"/>
      <c r="CHX128" s="26"/>
      <c r="CHY128" s="26"/>
      <c r="CHZ128" s="26"/>
      <c r="CIA128" s="26"/>
      <c r="CIB128" s="26"/>
      <c r="CIC128" s="26"/>
      <c r="CID128" s="26"/>
      <c r="CIE128" s="26"/>
      <c r="CIF128" s="26"/>
      <c r="CIG128" s="26"/>
      <c r="CIH128" s="26"/>
      <c r="CII128" s="26"/>
      <c r="CIJ128" s="26"/>
      <c r="CIK128" s="26"/>
      <c r="CIL128" s="26"/>
      <c r="CIM128" s="26"/>
      <c r="CIN128" s="26"/>
      <c r="CIO128" s="26"/>
      <c r="CIP128" s="26"/>
      <c r="CIQ128" s="26"/>
      <c r="CIR128" s="26"/>
      <c r="CIS128" s="26"/>
      <c r="CIT128" s="26"/>
      <c r="CIU128" s="26"/>
      <c r="CIV128" s="26"/>
      <c r="CIW128" s="26"/>
      <c r="CIX128" s="26"/>
      <c r="CIY128" s="26"/>
      <c r="CIZ128" s="26"/>
      <c r="CJA128" s="26"/>
      <c r="CJB128" s="26"/>
      <c r="CJC128" s="26"/>
      <c r="CJD128" s="26"/>
      <c r="CJE128" s="26"/>
      <c r="CJF128" s="26"/>
      <c r="CJG128" s="26"/>
      <c r="CJH128" s="26"/>
      <c r="CJI128" s="26"/>
      <c r="CJJ128" s="26"/>
      <c r="CJK128" s="26"/>
      <c r="CJL128" s="26"/>
      <c r="CJM128" s="26"/>
      <c r="CJN128" s="26"/>
      <c r="CJO128" s="26"/>
      <c r="CJP128" s="26"/>
      <c r="CJQ128" s="26"/>
      <c r="CJR128" s="26"/>
      <c r="CJS128" s="26"/>
      <c r="CJT128" s="26"/>
      <c r="CJU128" s="26"/>
      <c r="CJV128" s="26"/>
      <c r="CJW128" s="26"/>
      <c r="CJX128" s="26"/>
      <c r="CJY128" s="26"/>
      <c r="CJZ128" s="26"/>
      <c r="CKA128" s="26"/>
      <c r="CKB128" s="26"/>
      <c r="CKC128" s="26"/>
      <c r="CKD128" s="26"/>
      <c r="CKE128" s="26"/>
      <c r="CKF128" s="26"/>
      <c r="CKG128" s="26"/>
      <c r="CKH128" s="26"/>
      <c r="CKI128" s="26"/>
      <c r="CKJ128" s="26"/>
      <c r="CKK128" s="26"/>
      <c r="CKL128" s="26"/>
      <c r="CKM128" s="26"/>
      <c r="CKN128" s="26"/>
    </row>
    <row r="129" spans="1:84" ht="18.600000000000001" customHeight="1" x14ac:dyDescent="0.25">
      <c r="A129" s="60" t="s">
        <v>42</v>
      </c>
      <c r="B129" s="2" t="s">
        <v>3501</v>
      </c>
      <c r="C129" s="10" t="s">
        <v>3502</v>
      </c>
      <c r="D129" s="12" t="s">
        <v>3603</v>
      </c>
      <c r="E129" s="12" t="s">
        <v>3602</v>
      </c>
      <c r="F129" s="12" t="s">
        <v>4154</v>
      </c>
      <c r="G129" s="25">
        <v>187152</v>
      </c>
      <c r="H129" s="25">
        <v>110178</v>
      </c>
      <c r="I129" s="25">
        <v>33592</v>
      </c>
      <c r="J129" s="25">
        <v>30952</v>
      </c>
      <c r="K129" s="25">
        <v>755077</v>
      </c>
      <c r="L129" s="25">
        <v>655906</v>
      </c>
      <c r="M129" s="25">
        <v>1410983</v>
      </c>
      <c r="N129" s="31">
        <v>0.54</v>
      </c>
      <c r="O129" s="25">
        <v>45987</v>
      </c>
      <c r="P129" s="25">
        <v>9262</v>
      </c>
      <c r="Q129" s="25">
        <v>6273</v>
      </c>
      <c r="R129" s="25">
        <v>791</v>
      </c>
      <c r="S129" s="25">
        <v>791</v>
      </c>
      <c r="T129" s="25">
        <v>3996</v>
      </c>
      <c r="U129" s="61">
        <v>540</v>
      </c>
      <c r="V129" s="58">
        <v>1.5900000000000001E-2</v>
      </c>
      <c r="W129" s="33">
        <v>2.06E-2</v>
      </c>
      <c r="X129" s="33">
        <v>3.8E-3</v>
      </c>
      <c r="Y129" s="33">
        <v>1.24E-2</v>
      </c>
      <c r="Z129" s="33">
        <v>1.7399999999999999E-2</v>
      </c>
      <c r="AA129" s="12" t="s">
        <v>3926</v>
      </c>
      <c r="AB129" s="25">
        <v>70</v>
      </c>
      <c r="AC129" s="25">
        <v>27</v>
      </c>
      <c r="AD129" s="25">
        <v>1</v>
      </c>
      <c r="AE129" s="25">
        <v>13</v>
      </c>
      <c r="AF129" s="25">
        <v>24</v>
      </c>
      <c r="AG129" s="25">
        <v>5</v>
      </c>
      <c r="AH129" s="25">
        <v>0</v>
      </c>
      <c r="AI129" s="12">
        <v>0.16</v>
      </c>
      <c r="AJ129" s="25">
        <v>184694</v>
      </c>
      <c r="AK129" s="25">
        <v>59171</v>
      </c>
      <c r="AL129" s="33">
        <v>0.47139999999999999</v>
      </c>
      <c r="AM129" s="10" t="s">
        <v>3502</v>
      </c>
      <c r="AN129" s="12" t="s">
        <v>3602</v>
      </c>
      <c r="AO129" s="12" t="s">
        <v>3602</v>
      </c>
      <c r="AP129" s="12" t="str">
        <f>"320573468033795"</f>
        <v>320573468033795</v>
      </c>
      <c r="AQ129" s="12" t="s">
        <v>3603</v>
      </c>
      <c r="AR129" s="12" t="s">
        <v>4583</v>
      </c>
      <c r="AS129" s="12" t="s">
        <v>4822</v>
      </c>
      <c r="AT129" s="12" t="s">
        <v>4584</v>
      </c>
      <c r="AU129" s="12" t="s">
        <v>309</v>
      </c>
      <c r="AV129" s="12" t="s">
        <v>5882</v>
      </c>
      <c r="AW129" s="12"/>
      <c r="AX129" s="12">
        <v>0</v>
      </c>
      <c r="AY129" s="12">
        <v>109</v>
      </c>
      <c r="AZ129" s="12">
        <v>0</v>
      </c>
      <c r="BA129" s="12" t="s">
        <v>3604</v>
      </c>
      <c r="BB129" s="12" t="s">
        <v>6776</v>
      </c>
      <c r="BC129" s="12" t="s">
        <v>6777</v>
      </c>
      <c r="BD129" s="12" t="s">
        <v>3605</v>
      </c>
      <c r="BE129" s="12" t="s">
        <v>2291</v>
      </c>
      <c r="BF129" s="12"/>
      <c r="BG129" s="12"/>
      <c r="BH129" s="12"/>
      <c r="BI129" s="12"/>
      <c r="BJ129" s="12"/>
      <c r="BK129" s="12"/>
      <c r="BL129" s="12" t="s">
        <v>2292</v>
      </c>
      <c r="BM129" s="12" t="s">
        <v>2292</v>
      </c>
      <c r="BN129" s="12" t="s">
        <v>2292</v>
      </c>
      <c r="BO129" s="12" t="s">
        <v>2292</v>
      </c>
      <c r="BP129" s="12"/>
      <c r="BQ129" s="12"/>
      <c r="BR129" s="12" t="s">
        <v>3606</v>
      </c>
      <c r="BS129" s="12" t="s">
        <v>3607</v>
      </c>
      <c r="BT129" s="12">
        <v>617459292</v>
      </c>
      <c r="BU129" s="12" t="s">
        <v>326</v>
      </c>
      <c r="BV129" s="12"/>
      <c r="BW129" s="12" t="s">
        <v>5883</v>
      </c>
      <c r="BX129" s="12"/>
      <c r="BY129" s="13" t="s">
        <v>313</v>
      </c>
      <c r="BZ129" s="13" t="s">
        <v>312</v>
      </c>
      <c r="CA129" s="13"/>
      <c r="CB129" s="13"/>
      <c r="CC129" s="13"/>
      <c r="CD129" s="13"/>
      <c r="CE129" s="13"/>
      <c r="CF129" s="13"/>
    </row>
    <row r="130" spans="1:84" ht="18.600000000000001" customHeight="1" x14ac:dyDescent="0.25">
      <c r="A130" s="60" t="s">
        <v>42</v>
      </c>
      <c r="B130" s="2" t="s">
        <v>314</v>
      </c>
      <c r="C130" s="3" t="s">
        <v>4922</v>
      </c>
      <c r="D130" s="12" t="s">
        <v>659</v>
      </c>
      <c r="E130" s="12" t="s">
        <v>4923</v>
      </c>
      <c r="F130" s="12" t="s">
        <v>4439</v>
      </c>
      <c r="G130" s="25">
        <v>601587</v>
      </c>
      <c r="H130" s="25">
        <v>295912</v>
      </c>
      <c r="I130" s="25">
        <v>69211</v>
      </c>
      <c r="J130" s="25">
        <v>198336</v>
      </c>
      <c r="K130" s="25">
        <v>4290375</v>
      </c>
      <c r="L130" s="25">
        <v>5231048</v>
      </c>
      <c r="M130" s="25">
        <v>9521423</v>
      </c>
      <c r="N130" s="31">
        <v>0.45</v>
      </c>
      <c r="O130" s="25">
        <v>24524</v>
      </c>
      <c r="P130" s="25">
        <v>191751</v>
      </c>
      <c r="Q130" s="25">
        <v>29635</v>
      </c>
      <c r="R130" s="25">
        <v>3028</v>
      </c>
      <c r="S130" s="25">
        <v>1274</v>
      </c>
      <c r="T130" s="25">
        <v>3493</v>
      </c>
      <c r="U130" s="61">
        <v>649</v>
      </c>
      <c r="V130" s="58">
        <v>3.0300000000000001E-2</v>
      </c>
      <c r="W130" s="33">
        <v>1.2500000000000001E-2</v>
      </c>
      <c r="X130" s="33">
        <v>3.2000000000000002E-3</v>
      </c>
      <c r="Y130" s="33">
        <v>8.9999999999999993E-3</v>
      </c>
      <c r="Z130" s="33">
        <v>5.0999999999999997E-2</v>
      </c>
      <c r="AA130" s="12" t="s">
        <v>3926</v>
      </c>
      <c r="AB130" s="25">
        <v>370</v>
      </c>
      <c r="AC130" s="25">
        <v>149</v>
      </c>
      <c r="AD130" s="25">
        <v>19</v>
      </c>
      <c r="AE130" s="25">
        <v>24</v>
      </c>
      <c r="AF130" s="25">
        <v>168</v>
      </c>
      <c r="AG130" s="25">
        <v>10</v>
      </c>
      <c r="AH130" s="25">
        <v>0</v>
      </c>
      <c r="AI130" s="12">
        <v>0.84</v>
      </c>
      <c r="AJ130" s="25">
        <v>126669</v>
      </c>
      <c r="AK130" s="25">
        <v>119854</v>
      </c>
      <c r="AL130" s="33">
        <v>17.5868</v>
      </c>
      <c r="AM130" s="3" t="s">
        <v>4922</v>
      </c>
      <c r="AN130" s="12" t="s">
        <v>4923</v>
      </c>
      <c r="AO130" s="12" t="s">
        <v>4923</v>
      </c>
      <c r="AP130" s="12" t="str">
        <f>"116576108426876"</f>
        <v>116576108426876</v>
      </c>
      <c r="AQ130" s="12" t="s">
        <v>659</v>
      </c>
      <c r="AR130" s="12" t="s">
        <v>3218</v>
      </c>
      <c r="AS130" s="12" t="s">
        <v>4924</v>
      </c>
      <c r="AT130" s="12"/>
      <c r="AU130" s="12" t="s">
        <v>324</v>
      </c>
      <c r="AV130" s="12"/>
      <c r="AW130" s="12"/>
      <c r="AX130" s="12">
        <v>0</v>
      </c>
      <c r="AY130" s="12">
        <v>27359</v>
      </c>
      <c r="AZ130" s="12">
        <v>0</v>
      </c>
      <c r="BA130" s="12" t="s">
        <v>4877</v>
      </c>
      <c r="BB130" s="12" t="s">
        <v>7378</v>
      </c>
      <c r="BC130" s="12" t="s">
        <v>7379</v>
      </c>
      <c r="BD130" s="12"/>
      <c r="BE130" s="12" t="s">
        <v>2291</v>
      </c>
      <c r="BF130" s="12"/>
      <c r="BG130" s="12"/>
      <c r="BH130" s="12"/>
      <c r="BI130" s="12" t="s">
        <v>6061</v>
      </c>
      <c r="BJ130" s="12"/>
      <c r="BK130" s="12"/>
      <c r="BL130" s="12" t="s">
        <v>2292</v>
      </c>
      <c r="BM130" s="12" t="s">
        <v>2292</v>
      </c>
      <c r="BN130" s="12" t="s">
        <v>2292</v>
      </c>
      <c r="BO130" s="12" t="s">
        <v>2291</v>
      </c>
      <c r="BP130" s="12"/>
      <c r="BQ130" s="12"/>
      <c r="BR130" s="12"/>
      <c r="BS130" s="12"/>
      <c r="BT130" s="12"/>
      <c r="BU130" s="12"/>
      <c r="BV130" s="12"/>
      <c r="BW130" s="12" t="s">
        <v>3219</v>
      </c>
      <c r="BX130" s="12"/>
      <c r="BY130" s="13" t="s">
        <v>313</v>
      </c>
      <c r="BZ130" s="13" t="s">
        <v>6181</v>
      </c>
      <c r="CA130" s="13" t="s">
        <v>6170</v>
      </c>
      <c r="CB130" s="13" t="s">
        <v>6197</v>
      </c>
      <c r="CC130" s="13"/>
      <c r="CD130" s="13" t="s">
        <v>6198</v>
      </c>
      <c r="CE130" s="13"/>
      <c r="CF130" s="13"/>
    </row>
    <row r="131" spans="1:84" ht="18.600000000000001" customHeight="1" x14ac:dyDescent="0.25">
      <c r="A131" s="60" t="s">
        <v>42</v>
      </c>
      <c r="B131" s="2" t="s">
        <v>661</v>
      </c>
      <c r="C131" s="3" t="s">
        <v>3385</v>
      </c>
      <c r="D131" s="12" t="s">
        <v>3359</v>
      </c>
      <c r="E131" s="12" t="s">
        <v>3358</v>
      </c>
      <c r="F131" s="12" t="s">
        <v>4363</v>
      </c>
      <c r="G131" s="25">
        <v>13</v>
      </c>
      <c r="H131" s="25">
        <v>8</v>
      </c>
      <c r="I131" s="25">
        <v>4</v>
      </c>
      <c r="J131" s="25">
        <v>0</v>
      </c>
      <c r="K131" s="25">
        <v>0</v>
      </c>
      <c r="L131" s="25">
        <v>0</v>
      </c>
      <c r="M131" s="25">
        <v>0</v>
      </c>
      <c r="N131" s="31">
        <v>0</v>
      </c>
      <c r="O131" s="25">
        <v>0</v>
      </c>
      <c r="P131" s="25">
        <v>0</v>
      </c>
      <c r="Q131" s="25">
        <v>1</v>
      </c>
      <c r="R131" s="25">
        <v>0</v>
      </c>
      <c r="S131" s="25">
        <v>0</v>
      </c>
      <c r="T131" s="25">
        <v>0</v>
      </c>
      <c r="U131" s="61">
        <v>0</v>
      </c>
      <c r="V131" s="58">
        <v>1.9E-3</v>
      </c>
      <c r="W131" s="33">
        <v>8.9999999999999998E-4</v>
      </c>
      <c r="X131" s="12" t="s">
        <v>3926</v>
      </c>
      <c r="Y131" s="33">
        <v>3.5000000000000001E-3</v>
      </c>
      <c r="Z131" s="12" t="s">
        <v>3926</v>
      </c>
      <c r="AA131" s="12" t="s">
        <v>3926</v>
      </c>
      <c r="AB131" s="25">
        <v>2</v>
      </c>
      <c r="AC131" s="25">
        <v>1</v>
      </c>
      <c r="AD131" s="25">
        <v>0</v>
      </c>
      <c r="AE131" s="25">
        <v>1</v>
      </c>
      <c r="AF131" s="25">
        <v>0</v>
      </c>
      <c r="AG131" s="25">
        <v>0</v>
      </c>
      <c r="AH131" s="25">
        <v>0</v>
      </c>
      <c r="AI131" s="12">
        <v>0</v>
      </c>
      <c r="AJ131" s="25">
        <v>3492</v>
      </c>
      <c r="AK131" s="25">
        <v>651</v>
      </c>
      <c r="AL131" s="33">
        <v>0.2291</v>
      </c>
      <c r="AM131" s="3" t="s">
        <v>3385</v>
      </c>
      <c r="AN131" s="12" t="s">
        <v>3358</v>
      </c>
      <c r="AO131" s="12" t="s">
        <v>3358</v>
      </c>
      <c r="AP131" s="12" t="str">
        <f>"244481675622822"</f>
        <v>244481675622822</v>
      </c>
      <c r="AQ131" s="12" t="s">
        <v>3359</v>
      </c>
      <c r="AR131" s="12" t="s">
        <v>3684</v>
      </c>
      <c r="AS131" s="12" t="s">
        <v>3685</v>
      </c>
      <c r="AT131" s="12"/>
      <c r="AU131" s="12" t="s">
        <v>424</v>
      </c>
      <c r="AV131" s="12"/>
      <c r="AW131" s="12">
        <v>2012</v>
      </c>
      <c r="AX131" s="12">
        <v>0</v>
      </c>
      <c r="AY131" s="12">
        <v>3</v>
      </c>
      <c r="AZ131" s="12">
        <v>0</v>
      </c>
      <c r="BA131" s="12" t="s">
        <v>3360</v>
      </c>
      <c r="BB131" s="12" t="s">
        <v>7247</v>
      </c>
      <c r="BC131" s="12" t="s">
        <v>7248</v>
      </c>
      <c r="BD131" s="12"/>
      <c r="BE131" s="12" t="s">
        <v>2291</v>
      </c>
      <c r="BF131" s="12"/>
      <c r="BG131" s="12"/>
      <c r="BH131" s="12"/>
      <c r="BI131" s="12" t="s">
        <v>3359</v>
      </c>
      <c r="BJ131" s="12" t="s">
        <v>3359</v>
      </c>
      <c r="BK131" s="12"/>
      <c r="BL131" s="12" t="s">
        <v>2292</v>
      </c>
      <c r="BM131" s="12" t="s">
        <v>2292</v>
      </c>
      <c r="BN131" s="12" t="s">
        <v>2292</v>
      </c>
      <c r="BO131" s="12" t="s">
        <v>2292</v>
      </c>
      <c r="BP131" s="12" t="s">
        <v>3359</v>
      </c>
      <c r="BQ131" s="12"/>
      <c r="BR131" s="12"/>
      <c r="BS131" s="12"/>
      <c r="BT131" s="12"/>
      <c r="BU131" s="12"/>
      <c r="BV131" s="12" t="s">
        <v>3359</v>
      </c>
      <c r="BW131" s="12" t="s">
        <v>3361</v>
      </c>
      <c r="BX131" s="12"/>
      <c r="BY131" s="13" t="s">
        <v>313</v>
      </c>
      <c r="BZ131" s="13" t="s">
        <v>6173</v>
      </c>
      <c r="CA131" s="13" t="s">
        <v>6170</v>
      </c>
      <c r="CB131" s="13" t="s">
        <v>312</v>
      </c>
      <c r="CC131" s="13"/>
      <c r="CD131" s="13" t="s">
        <v>6198</v>
      </c>
      <c r="CE131" s="13"/>
      <c r="CF131" s="13"/>
    </row>
    <row r="132" spans="1:84" ht="18.600000000000001" customHeight="1" x14ac:dyDescent="0.25">
      <c r="A132" s="60" t="s">
        <v>42</v>
      </c>
      <c r="B132" s="2" t="s">
        <v>335</v>
      </c>
      <c r="C132" s="3" t="s">
        <v>5003</v>
      </c>
      <c r="D132" s="12" t="s">
        <v>5159</v>
      </c>
      <c r="E132" s="12" t="s">
        <v>42</v>
      </c>
      <c r="F132" s="12" t="s">
        <v>5160</v>
      </c>
      <c r="G132" s="25">
        <v>1777</v>
      </c>
      <c r="H132" s="25">
        <v>1116</v>
      </c>
      <c r="I132" s="25">
        <v>106</v>
      </c>
      <c r="J132" s="25">
        <v>460</v>
      </c>
      <c r="K132" s="25">
        <v>8417</v>
      </c>
      <c r="L132" s="25">
        <v>19893</v>
      </c>
      <c r="M132" s="25">
        <v>28310</v>
      </c>
      <c r="N132" s="31">
        <v>0.3</v>
      </c>
      <c r="O132" s="25">
        <v>0</v>
      </c>
      <c r="P132" s="25">
        <v>0</v>
      </c>
      <c r="Q132" s="25">
        <v>85</v>
      </c>
      <c r="R132" s="25">
        <v>7</v>
      </c>
      <c r="S132" s="25">
        <v>2</v>
      </c>
      <c r="T132" s="25">
        <v>1</v>
      </c>
      <c r="U132" s="61">
        <v>0</v>
      </c>
      <c r="V132" s="58">
        <v>7.7000000000000002E-3</v>
      </c>
      <c r="W132" s="33">
        <v>6.0000000000000001E-3</v>
      </c>
      <c r="X132" s="12" t="s">
        <v>3926</v>
      </c>
      <c r="Y132" s="33">
        <v>0</v>
      </c>
      <c r="Z132" s="33">
        <v>1.66E-2</v>
      </c>
      <c r="AA132" s="12" t="s">
        <v>3926</v>
      </c>
      <c r="AB132" s="25">
        <v>97</v>
      </c>
      <c r="AC132" s="25">
        <v>77</v>
      </c>
      <c r="AD132" s="25">
        <v>0</v>
      </c>
      <c r="AE132" s="25">
        <v>1</v>
      </c>
      <c r="AF132" s="25">
        <v>19</v>
      </c>
      <c r="AG132" s="25">
        <v>0</v>
      </c>
      <c r="AH132" s="25">
        <v>0</v>
      </c>
      <c r="AI132" s="12">
        <v>0.22</v>
      </c>
      <c r="AJ132" s="25">
        <v>3433</v>
      </c>
      <c r="AK132" s="25">
        <v>0</v>
      </c>
      <c r="AL132" s="31">
        <v>0</v>
      </c>
      <c r="AM132" s="3" t="s">
        <v>5003</v>
      </c>
      <c r="AN132" s="12" t="s">
        <v>42</v>
      </c>
      <c r="AO132" s="12" t="s">
        <v>42</v>
      </c>
      <c r="AP132" s="12" t="str">
        <f>"1670674459906922"</f>
        <v>1670674459906922</v>
      </c>
      <c r="AQ132" s="12" t="s">
        <v>5159</v>
      </c>
      <c r="AR132" s="12" t="s">
        <v>5078</v>
      </c>
      <c r="AS132" s="12" t="s">
        <v>5464</v>
      </c>
      <c r="AT132" s="12"/>
      <c r="AU132" s="12" t="s">
        <v>324</v>
      </c>
      <c r="AV132" s="12"/>
      <c r="AW132" s="12" t="s">
        <v>5465</v>
      </c>
      <c r="AX132" s="12">
        <v>0</v>
      </c>
      <c r="AY132" s="12">
        <v>98</v>
      </c>
      <c r="AZ132" s="12">
        <v>0</v>
      </c>
      <c r="BA132" s="12" t="s">
        <v>5466</v>
      </c>
      <c r="BB132" s="12"/>
      <c r="BC132" s="12" t="s">
        <v>7246</v>
      </c>
      <c r="BD132" s="12"/>
      <c r="BE132" s="12" t="s">
        <v>2291</v>
      </c>
      <c r="BF132" s="12"/>
      <c r="BG132" s="12"/>
      <c r="BH132" s="12"/>
      <c r="BI132" s="12"/>
      <c r="BJ132" s="12"/>
      <c r="BK132" s="12"/>
      <c r="BL132" s="12" t="s">
        <v>2292</v>
      </c>
      <c r="BM132" s="12" t="s">
        <v>2292</v>
      </c>
      <c r="BN132" s="12" t="s">
        <v>2292</v>
      </c>
      <c r="BO132" s="12" t="s">
        <v>2292</v>
      </c>
      <c r="BP132" s="12" t="s">
        <v>5467</v>
      </c>
      <c r="BQ132" s="12"/>
      <c r="BR132" s="12"/>
      <c r="BS132" s="12"/>
      <c r="BT132" s="12"/>
      <c r="BU132" s="12"/>
      <c r="BV132" s="12"/>
      <c r="BW132" s="12"/>
      <c r="BX132" s="12"/>
      <c r="BY132" s="13" t="s">
        <v>313</v>
      </c>
      <c r="BZ132" s="13" t="s">
        <v>6170</v>
      </c>
      <c r="CA132" s="13" t="s">
        <v>6170</v>
      </c>
      <c r="CB132" s="13" t="s">
        <v>312</v>
      </c>
      <c r="CC132" s="13"/>
      <c r="CD132" s="13" t="s">
        <v>6198</v>
      </c>
      <c r="CE132" s="13"/>
      <c r="CF132" s="13"/>
    </row>
    <row r="133" spans="1:84" ht="18.600000000000001" customHeight="1" x14ac:dyDescent="0.25">
      <c r="A133" s="60" t="s">
        <v>42</v>
      </c>
      <c r="B133" s="2" t="s">
        <v>335</v>
      </c>
      <c r="C133" s="10" t="s">
        <v>3309</v>
      </c>
      <c r="D133" s="12" t="s">
        <v>3318</v>
      </c>
      <c r="E133" s="12" t="s">
        <v>3310</v>
      </c>
      <c r="F133" s="12" t="s">
        <v>4188</v>
      </c>
      <c r="G133" s="25">
        <v>16663</v>
      </c>
      <c r="H133" s="25">
        <v>11884</v>
      </c>
      <c r="I133" s="25">
        <v>1032</v>
      </c>
      <c r="J133" s="25">
        <v>3243</v>
      </c>
      <c r="K133" s="25">
        <v>14851</v>
      </c>
      <c r="L133" s="25">
        <v>19190</v>
      </c>
      <c r="M133" s="25">
        <v>34041</v>
      </c>
      <c r="N133" s="31">
        <v>0.44</v>
      </c>
      <c r="O133" s="25">
        <v>4772</v>
      </c>
      <c r="P133" s="25">
        <v>0</v>
      </c>
      <c r="Q133" s="25">
        <v>349</v>
      </c>
      <c r="R133" s="25">
        <v>31</v>
      </c>
      <c r="S133" s="25">
        <v>27</v>
      </c>
      <c r="T133" s="25">
        <v>84</v>
      </c>
      <c r="U133" s="61">
        <v>11</v>
      </c>
      <c r="V133" s="58">
        <v>2.2000000000000001E-3</v>
      </c>
      <c r="W133" s="33">
        <v>2.3999999999999998E-3</v>
      </c>
      <c r="X133" s="33">
        <v>1E-3</v>
      </c>
      <c r="Y133" s="33">
        <v>5.0000000000000001E-4</v>
      </c>
      <c r="Z133" s="33">
        <v>3.3E-3</v>
      </c>
      <c r="AA133" s="33">
        <v>4.0000000000000002E-4</v>
      </c>
      <c r="AB133" s="25">
        <v>298</v>
      </c>
      <c r="AC133" s="25">
        <v>249</v>
      </c>
      <c r="AD133" s="25">
        <v>13</v>
      </c>
      <c r="AE133" s="25">
        <v>13</v>
      </c>
      <c r="AF133" s="25">
        <v>15</v>
      </c>
      <c r="AG133" s="25">
        <v>6</v>
      </c>
      <c r="AH133" s="25">
        <v>2</v>
      </c>
      <c r="AI133" s="12">
        <v>0.68</v>
      </c>
      <c r="AJ133" s="25">
        <v>29797</v>
      </c>
      <c r="AK133" s="25">
        <v>11462</v>
      </c>
      <c r="AL133" s="33">
        <v>0.62509999999999999</v>
      </c>
      <c r="AM133" s="10" t="s">
        <v>3309</v>
      </c>
      <c r="AN133" s="12" t="s">
        <v>3310</v>
      </c>
      <c r="AO133" s="12" t="s">
        <v>3310</v>
      </c>
      <c r="AP133" s="12" t="str">
        <f>"1375446046034287"</f>
        <v>1375446046034287</v>
      </c>
      <c r="AQ133" s="12" t="s">
        <v>3318</v>
      </c>
      <c r="AR133" s="12" t="s">
        <v>3319</v>
      </c>
      <c r="AS133" s="12" t="s">
        <v>4911</v>
      </c>
      <c r="AT133" s="12"/>
      <c r="AU133" s="12" t="s">
        <v>324</v>
      </c>
      <c r="AV133" s="12" t="s">
        <v>5731</v>
      </c>
      <c r="AW133" s="12" t="s">
        <v>3623</v>
      </c>
      <c r="AX133" s="12">
        <v>1595</v>
      </c>
      <c r="AY133" s="12">
        <v>1316</v>
      </c>
      <c r="AZ133" s="12">
        <v>0</v>
      </c>
      <c r="BA133" s="12" t="s">
        <v>3320</v>
      </c>
      <c r="BB133" s="12" t="s">
        <v>6856</v>
      </c>
      <c r="BC133" s="12" t="s">
        <v>6857</v>
      </c>
      <c r="BD133" s="12"/>
      <c r="BE133" s="12" t="s">
        <v>2291</v>
      </c>
      <c r="BF133" s="12"/>
      <c r="BG133" s="12"/>
      <c r="BH133" s="12"/>
      <c r="BI133" s="12"/>
      <c r="BJ133" s="12"/>
      <c r="BK133" s="12" t="s">
        <v>6858</v>
      </c>
      <c r="BL133" s="12" t="s">
        <v>2292</v>
      </c>
      <c r="BM133" s="12" t="s">
        <v>2292</v>
      </c>
      <c r="BN133" s="12" t="s">
        <v>2292</v>
      </c>
      <c r="BO133" s="12" t="s">
        <v>2291</v>
      </c>
      <c r="BP133" s="12" t="s">
        <v>4912</v>
      </c>
      <c r="BQ133" s="12"/>
      <c r="BR133" s="12"/>
      <c r="BS133" s="12"/>
      <c r="BT133" s="12"/>
      <c r="BU133" s="12" t="s">
        <v>326</v>
      </c>
      <c r="BV133" s="12"/>
      <c r="BW133" s="12" t="s">
        <v>4592</v>
      </c>
      <c r="BX133" s="12"/>
      <c r="BY133" s="13" t="s">
        <v>313</v>
      </c>
      <c r="BZ133" s="13" t="s">
        <v>6186</v>
      </c>
      <c r="CA133" s="13" t="s">
        <v>6170</v>
      </c>
      <c r="CB133" s="13" t="s">
        <v>312</v>
      </c>
      <c r="CC133" s="13"/>
      <c r="CD133" s="13" t="s">
        <v>6198</v>
      </c>
      <c r="CE133" s="13"/>
      <c r="CF133" s="13"/>
    </row>
    <row r="134" spans="1:84" ht="18.600000000000001" customHeight="1" x14ac:dyDescent="0.25">
      <c r="A134" s="60" t="s">
        <v>43</v>
      </c>
      <c r="B134" s="2" t="s">
        <v>314</v>
      </c>
      <c r="C134" s="3" t="s">
        <v>2899</v>
      </c>
      <c r="D134" s="12" t="s">
        <v>662</v>
      </c>
      <c r="E134" s="12" t="s">
        <v>44</v>
      </c>
      <c r="F134" s="12" t="s">
        <v>4303</v>
      </c>
      <c r="G134" s="25">
        <v>229997</v>
      </c>
      <c r="H134" s="25">
        <v>172840</v>
      </c>
      <c r="I134" s="25">
        <v>20299</v>
      </c>
      <c r="J134" s="25">
        <v>21981</v>
      </c>
      <c r="K134" s="25">
        <v>8930</v>
      </c>
      <c r="L134" s="25">
        <v>2549</v>
      </c>
      <c r="M134" s="25">
        <v>11479</v>
      </c>
      <c r="N134" s="31">
        <v>0.78</v>
      </c>
      <c r="O134" s="25">
        <v>0</v>
      </c>
      <c r="P134" s="25">
        <v>0</v>
      </c>
      <c r="Q134" s="25">
        <v>9305</v>
      </c>
      <c r="R134" s="25">
        <v>509</v>
      </c>
      <c r="S134" s="25">
        <v>2647</v>
      </c>
      <c r="T134" s="25">
        <v>848</v>
      </c>
      <c r="U134" s="61">
        <v>1540</v>
      </c>
      <c r="V134" s="58">
        <v>8.0000000000000004E-4</v>
      </c>
      <c r="W134" s="33">
        <v>8.9999999999999998E-4</v>
      </c>
      <c r="X134" s="33">
        <v>4.0000000000000002E-4</v>
      </c>
      <c r="Y134" s="33">
        <v>4.0000000000000002E-4</v>
      </c>
      <c r="Z134" s="33">
        <v>1E-3</v>
      </c>
      <c r="AA134" s="12" t="s">
        <v>3926</v>
      </c>
      <c r="AB134" s="25">
        <v>1247</v>
      </c>
      <c r="AC134" s="25">
        <v>842</v>
      </c>
      <c r="AD134" s="25">
        <v>11</v>
      </c>
      <c r="AE134" s="25">
        <v>391</v>
      </c>
      <c r="AF134" s="25">
        <v>3</v>
      </c>
      <c r="AG134" s="25">
        <v>0</v>
      </c>
      <c r="AH134" s="25">
        <v>0</v>
      </c>
      <c r="AI134" s="12">
        <v>2.84</v>
      </c>
      <c r="AJ134" s="25">
        <v>255276</v>
      </c>
      <c r="AK134" s="25">
        <v>23596</v>
      </c>
      <c r="AL134" s="33">
        <v>0.1018</v>
      </c>
      <c r="AM134" s="3" t="s">
        <v>2899</v>
      </c>
      <c r="AN134" s="12" t="s">
        <v>44</v>
      </c>
      <c r="AO134" s="12" t="s">
        <v>44</v>
      </c>
      <c r="AP134" s="12" t="str">
        <f>"8383028996"</f>
        <v>8383028996</v>
      </c>
      <c r="AQ134" s="12" t="s">
        <v>662</v>
      </c>
      <c r="AR134" s="12" t="s">
        <v>663</v>
      </c>
      <c r="AS134" s="12" t="s">
        <v>664</v>
      </c>
      <c r="AT134" s="12"/>
      <c r="AU134" s="12" t="s">
        <v>324</v>
      </c>
      <c r="AV134" s="12" t="s">
        <v>5987</v>
      </c>
      <c r="AW134" s="12"/>
      <c r="AX134" s="12">
        <v>19736</v>
      </c>
      <c r="AY134" s="12">
        <v>1086</v>
      </c>
      <c r="AZ134" s="12">
        <v>19736</v>
      </c>
      <c r="BA134" s="12" t="s">
        <v>665</v>
      </c>
      <c r="BB134" s="12" t="s">
        <v>7102</v>
      </c>
      <c r="BC134" s="12" t="s">
        <v>7103</v>
      </c>
      <c r="BD134" s="12"/>
      <c r="BE134" s="12" t="s">
        <v>2291</v>
      </c>
      <c r="BF134" s="12"/>
      <c r="BG134" s="12"/>
      <c r="BH134" s="12"/>
      <c r="BI134" s="12"/>
      <c r="BJ134" s="12"/>
      <c r="BK134" s="12"/>
      <c r="BL134" s="12" t="s">
        <v>2292</v>
      </c>
      <c r="BM134" s="12" t="s">
        <v>2292</v>
      </c>
      <c r="BN134" s="12" t="s">
        <v>2292</v>
      </c>
      <c r="BO134" s="12" t="s">
        <v>2292</v>
      </c>
      <c r="BP134" s="12"/>
      <c r="BQ134" s="12"/>
      <c r="BR134" s="12"/>
      <c r="BS134" s="12"/>
      <c r="BT134" s="12" t="s">
        <v>2900</v>
      </c>
      <c r="BU134" s="12" t="s">
        <v>326</v>
      </c>
      <c r="BV134" s="12"/>
      <c r="BW134" s="12" t="s">
        <v>4945</v>
      </c>
      <c r="BX134" s="12"/>
      <c r="BY134" s="13" t="s">
        <v>313</v>
      </c>
      <c r="BZ134" s="13" t="s">
        <v>312</v>
      </c>
      <c r="CA134" s="13"/>
      <c r="CB134" s="13"/>
      <c r="CC134" s="13"/>
      <c r="CD134" s="13"/>
      <c r="CE134" s="13"/>
      <c r="CF134" s="13"/>
    </row>
    <row r="135" spans="1:84" ht="18.600000000000001" customHeight="1" x14ac:dyDescent="0.25">
      <c r="A135" s="60" t="s">
        <v>43</v>
      </c>
      <c r="B135" s="2" t="s">
        <v>315</v>
      </c>
      <c r="C135" s="3" t="s">
        <v>2549</v>
      </c>
      <c r="D135" s="12" t="s">
        <v>666</v>
      </c>
      <c r="E135" s="12" t="s">
        <v>45</v>
      </c>
      <c r="F135" s="12" t="s">
        <v>4085</v>
      </c>
      <c r="G135" s="25">
        <v>353460</v>
      </c>
      <c r="H135" s="25">
        <v>251233</v>
      </c>
      <c r="I135" s="25">
        <v>22667</v>
      </c>
      <c r="J135" s="25">
        <v>61782</v>
      </c>
      <c r="K135" s="25">
        <v>376631</v>
      </c>
      <c r="L135" s="25">
        <v>107915</v>
      </c>
      <c r="M135" s="25">
        <v>484546</v>
      </c>
      <c r="N135" s="31">
        <v>0.78</v>
      </c>
      <c r="O135" s="25">
        <v>1027</v>
      </c>
      <c r="P135" s="25">
        <v>6594</v>
      </c>
      <c r="Q135" s="25">
        <v>10244</v>
      </c>
      <c r="R135" s="25">
        <v>1076</v>
      </c>
      <c r="S135" s="25">
        <v>2161</v>
      </c>
      <c r="T135" s="25">
        <v>3025</v>
      </c>
      <c r="U135" s="61">
        <v>1213</v>
      </c>
      <c r="V135" s="58">
        <v>4.0000000000000002E-4</v>
      </c>
      <c r="W135" s="33">
        <v>5.0000000000000001E-4</v>
      </c>
      <c r="X135" s="33">
        <v>2.0000000000000001E-4</v>
      </c>
      <c r="Y135" s="33">
        <v>2.9999999999999997E-4</v>
      </c>
      <c r="Z135" s="33">
        <v>2.0000000000000001E-4</v>
      </c>
      <c r="AA135" s="33">
        <v>1E-4</v>
      </c>
      <c r="AB135" s="25">
        <v>4110</v>
      </c>
      <c r="AC135" s="25">
        <v>2222</v>
      </c>
      <c r="AD135" s="25">
        <v>612</v>
      </c>
      <c r="AE135" s="25">
        <v>902</v>
      </c>
      <c r="AF135" s="25">
        <v>281</v>
      </c>
      <c r="AG135" s="25">
        <v>2</v>
      </c>
      <c r="AH135" s="25">
        <v>91</v>
      </c>
      <c r="AI135" s="12">
        <v>9.36</v>
      </c>
      <c r="AJ135" s="25">
        <v>267181</v>
      </c>
      <c r="AK135" s="25">
        <v>52690</v>
      </c>
      <c r="AL135" s="33">
        <v>0.2457</v>
      </c>
      <c r="AM135" s="3" t="s">
        <v>2549</v>
      </c>
      <c r="AN135" s="12" t="s">
        <v>45</v>
      </c>
      <c r="AO135" s="12" t="s">
        <v>45</v>
      </c>
      <c r="AP135" s="12" t="str">
        <f>"194109891221"</f>
        <v>194109891221</v>
      </c>
      <c r="AQ135" s="12" t="s">
        <v>666</v>
      </c>
      <c r="AR135" s="12" t="s">
        <v>667</v>
      </c>
      <c r="AS135" s="12" t="s">
        <v>668</v>
      </c>
      <c r="AT135" s="12"/>
      <c r="AU135" s="12" t="s">
        <v>324</v>
      </c>
      <c r="AV135" s="12"/>
      <c r="AW135" s="12"/>
      <c r="AX135" s="12">
        <v>0</v>
      </c>
      <c r="AY135" s="12">
        <v>15882</v>
      </c>
      <c r="AZ135" s="12">
        <v>0</v>
      </c>
      <c r="BA135" s="12" t="s">
        <v>669</v>
      </c>
      <c r="BB135" s="12"/>
      <c r="BC135" s="12" t="s">
        <v>6617</v>
      </c>
      <c r="BD135" s="12"/>
      <c r="BE135" s="12" t="s">
        <v>2291</v>
      </c>
      <c r="BF135" s="12"/>
      <c r="BG135" s="12"/>
      <c r="BH135" s="12"/>
      <c r="BI135" s="12"/>
      <c r="BJ135" s="12"/>
      <c r="BK135" s="12" t="s">
        <v>6448</v>
      </c>
      <c r="BL135" s="12" t="s">
        <v>2292</v>
      </c>
      <c r="BM135" s="12" t="s">
        <v>2292</v>
      </c>
      <c r="BN135" s="12" t="s">
        <v>2292</v>
      </c>
      <c r="BO135" s="12" t="s">
        <v>2291</v>
      </c>
      <c r="BP135" s="12" t="s">
        <v>670</v>
      </c>
      <c r="BQ135" s="12"/>
      <c r="BR135" s="12"/>
      <c r="BS135" s="12"/>
      <c r="BT135" s="12"/>
      <c r="BU135" s="12"/>
      <c r="BV135" s="12"/>
      <c r="BW135" s="12"/>
      <c r="BX135" s="12"/>
      <c r="BY135" s="13" t="s">
        <v>313</v>
      </c>
      <c r="BZ135" s="13" t="s">
        <v>6168</v>
      </c>
      <c r="CA135" s="13" t="s">
        <v>6170</v>
      </c>
      <c r="CB135" s="13" t="s">
        <v>6202</v>
      </c>
      <c r="CC135" s="13" t="s">
        <v>6187</v>
      </c>
      <c r="CD135" s="13" t="s">
        <v>6195</v>
      </c>
      <c r="CE135" s="13"/>
      <c r="CF135" s="13"/>
    </row>
    <row r="136" spans="1:84" ht="18.600000000000001" customHeight="1" x14ac:dyDescent="0.25">
      <c r="A136" s="35" t="s">
        <v>43</v>
      </c>
      <c r="B136" s="13" t="s">
        <v>315</v>
      </c>
      <c r="C136" s="3" t="s">
        <v>2972</v>
      </c>
      <c r="D136" s="12" t="s">
        <v>672</v>
      </c>
      <c r="E136" s="12" t="s">
        <v>671</v>
      </c>
      <c r="F136" s="12" t="s">
        <v>4349</v>
      </c>
      <c r="G136" s="25">
        <v>10340</v>
      </c>
      <c r="H136" s="25">
        <v>6235</v>
      </c>
      <c r="I136" s="25">
        <v>1056</v>
      </c>
      <c r="J136" s="25">
        <v>2589</v>
      </c>
      <c r="K136" s="25">
        <v>0</v>
      </c>
      <c r="L136" s="25">
        <v>0</v>
      </c>
      <c r="M136" s="25">
        <v>0</v>
      </c>
      <c r="N136" s="31">
        <v>0</v>
      </c>
      <c r="O136" s="25">
        <v>0</v>
      </c>
      <c r="P136" s="25">
        <v>0</v>
      </c>
      <c r="Q136" s="25">
        <v>227</v>
      </c>
      <c r="R136" s="25">
        <v>69</v>
      </c>
      <c r="S136" s="25">
        <v>33</v>
      </c>
      <c r="T136" s="25">
        <v>96</v>
      </c>
      <c r="U136" s="61">
        <v>33</v>
      </c>
      <c r="V136" s="58">
        <v>1E-4</v>
      </c>
      <c r="W136" s="33">
        <v>2.0000000000000001E-4</v>
      </c>
      <c r="X136" s="33">
        <v>1E-4</v>
      </c>
      <c r="Y136" s="33">
        <v>1E-4</v>
      </c>
      <c r="Z136" s="12" t="s">
        <v>3926</v>
      </c>
      <c r="AA136" s="33">
        <v>0</v>
      </c>
      <c r="AB136" s="25">
        <v>3643</v>
      </c>
      <c r="AC136" s="25">
        <v>392</v>
      </c>
      <c r="AD136" s="25">
        <v>320</v>
      </c>
      <c r="AE136" s="25">
        <v>2777</v>
      </c>
      <c r="AF136" s="25">
        <v>0</v>
      </c>
      <c r="AG136" s="25">
        <v>0</v>
      </c>
      <c r="AH136" s="25">
        <v>154</v>
      </c>
      <c r="AI136" s="12">
        <v>8.3000000000000007</v>
      </c>
      <c r="AJ136" s="25">
        <v>24006</v>
      </c>
      <c r="AK136" s="25">
        <v>5507</v>
      </c>
      <c r="AL136" s="33">
        <v>0.29770000000000002</v>
      </c>
      <c r="AM136" s="3" t="s">
        <v>2972</v>
      </c>
      <c r="AN136" s="12" t="s">
        <v>671</v>
      </c>
      <c r="AO136" s="12" t="s">
        <v>671</v>
      </c>
      <c r="AP136" s="12" t="str">
        <f>"612864685431270"</f>
        <v>612864685431270</v>
      </c>
      <c r="AQ136" s="12" t="s">
        <v>672</v>
      </c>
      <c r="AR136" s="12" t="s">
        <v>673</v>
      </c>
      <c r="AS136" s="12" t="s">
        <v>674</v>
      </c>
      <c r="AT136" s="12"/>
      <c r="AU136" s="12" t="s">
        <v>324</v>
      </c>
      <c r="AV136" s="12"/>
      <c r="AW136" s="12"/>
      <c r="AX136" s="12">
        <v>0</v>
      </c>
      <c r="AY136" s="12">
        <v>233</v>
      </c>
      <c r="AZ136" s="12">
        <v>0</v>
      </c>
      <c r="BA136" s="12" t="s">
        <v>675</v>
      </c>
      <c r="BB136" s="12"/>
      <c r="BC136" s="12" t="s">
        <v>7210</v>
      </c>
      <c r="BD136" s="12"/>
      <c r="BE136" s="12" t="s">
        <v>2291</v>
      </c>
      <c r="BF136" s="12"/>
      <c r="BG136" s="12"/>
      <c r="BH136" s="12"/>
      <c r="BI136" s="12"/>
      <c r="BJ136" s="12"/>
      <c r="BK136" s="12"/>
      <c r="BL136" s="12" t="s">
        <v>2292</v>
      </c>
      <c r="BM136" s="12" t="s">
        <v>2292</v>
      </c>
      <c r="BN136" s="12" t="s">
        <v>2292</v>
      </c>
      <c r="BO136" s="12" t="s">
        <v>2292</v>
      </c>
      <c r="BP136" s="12"/>
      <c r="BQ136" s="12"/>
      <c r="BR136" s="12"/>
      <c r="BS136" s="12"/>
      <c r="BT136" s="12"/>
      <c r="BU136" s="12"/>
      <c r="BV136" s="12"/>
      <c r="BW136" s="12"/>
      <c r="BX136" s="12"/>
      <c r="BY136" s="13" t="s">
        <v>313</v>
      </c>
      <c r="BZ136" s="13" t="s">
        <v>312</v>
      </c>
      <c r="CA136" s="13"/>
      <c r="CB136" s="13"/>
      <c r="CC136" s="13"/>
      <c r="CD136" s="13"/>
      <c r="CE136" s="13"/>
      <c r="CF136" s="13"/>
    </row>
    <row r="137" spans="1:84" ht="18.600000000000001" customHeight="1" x14ac:dyDescent="0.25">
      <c r="A137" s="35" t="s">
        <v>43</v>
      </c>
      <c r="B137" s="2" t="s">
        <v>7438</v>
      </c>
      <c r="C137" s="3" t="s">
        <v>6241</v>
      </c>
      <c r="D137" s="12" t="s">
        <v>6767</v>
      </c>
      <c r="E137" s="12" t="s">
        <v>6179</v>
      </c>
      <c r="F137" s="12" t="s">
        <v>7420</v>
      </c>
      <c r="G137" s="25">
        <v>26364</v>
      </c>
      <c r="H137" s="25">
        <v>20347</v>
      </c>
      <c r="I137" s="25">
        <v>2988</v>
      </c>
      <c r="J137" s="25">
        <v>1505</v>
      </c>
      <c r="K137" s="25">
        <v>10215</v>
      </c>
      <c r="L137" s="25">
        <v>1637</v>
      </c>
      <c r="M137" s="25">
        <v>11852</v>
      </c>
      <c r="N137" s="31">
        <v>0.86</v>
      </c>
      <c r="O137" s="25">
        <v>0</v>
      </c>
      <c r="P137" s="25">
        <v>881</v>
      </c>
      <c r="Q137" s="25">
        <v>1326</v>
      </c>
      <c r="R137" s="25">
        <v>32</v>
      </c>
      <c r="S137" s="25">
        <v>46</v>
      </c>
      <c r="T137" s="25">
        <v>76</v>
      </c>
      <c r="U137" s="61">
        <v>44</v>
      </c>
      <c r="V137" s="58">
        <v>1.2699999999999999E-2</v>
      </c>
      <c r="W137" s="33">
        <v>0</v>
      </c>
      <c r="X137" s="33">
        <v>0</v>
      </c>
      <c r="Y137" s="33">
        <v>0</v>
      </c>
      <c r="Z137" s="33">
        <v>4.8999999999999998E-3</v>
      </c>
      <c r="AA137" s="33">
        <v>1.67E-2</v>
      </c>
      <c r="AB137" s="25">
        <v>197</v>
      </c>
      <c r="AC137" s="25">
        <v>159</v>
      </c>
      <c r="AD137" s="25">
        <v>6</v>
      </c>
      <c r="AE137" s="25">
        <v>4</v>
      </c>
      <c r="AF137" s="25">
        <v>23</v>
      </c>
      <c r="AG137" s="25">
        <v>0</v>
      </c>
      <c r="AH137" s="25">
        <v>5</v>
      </c>
      <c r="AI137" s="12">
        <v>0.45</v>
      </c>
      <c r="AJ137" s="25">
        <v>10496</v>
      </c>
      <c r="AK137" s="25">
        <v>0</v>
      </c>
      <c r="AL137" s="31">
        <v>0</v>
      </c>
      <c r="AM137" s="3" t="s">
        <v>6241</v>
      </c>
      <c r="AN137" s="12" t="s">
        <v>6179</v>
      </c>
      <c r="AO137" s="12" t="s">
        <v>6179</v>
      </c>
      <c r="AP137" s="12" t="str">
        <f>"1459341074128363"</f>
        <v>1459341074128363</v>
      </c>
      <c r="AQ137" s="12" t="s">
        <v>6767</v>
      </c>
      <c r="AR137" s="12"/>
      <c r="AS137" s="12" t="s">
        <v>6768</v>
      </c>
      <c r="AT137" s="12" t="s">
        <v>6769</v>
      </c>
      <c r="AU137" s="12" t="s">
        <v>319</v>
      </c>
      <c r="AV137" s="12"/>
      <c r="AW137" s="12"/>
      <c r="AX137" s="12">
        <v>0</v>
      </c>
      <c r="AY137" s="12">
        <v>109</v>
      </c>
      <c r="AZ137" s="12">
        <v>0</v>
      </c>
      <c r="BA137" s="12" t="s">
        <v>6770</v>
      </c>
      <c r="BB137" s="12"/>
      <c r="BC137" s="12" t="s">
        <v>6771</v>
      </c>
      <c r="BD137" s="12"/>
      <c r="BE137" s="12" t="s">
        <v>2291</v>
      </c>
      <c r="BF137" s="12"/>
      <c r="BG137" s="12"/>
      <c r="BH137" s="12"/>
      <c r="BI137" s="12"/>
      <c r="BJ137" s="12"/>
      <c r="BK137" s="12"/>
      <c r="BL137" s="12" t="s">
        <v>2292</v>
      </c>
      <c r="BM137" s="12" t="s">
        <v>2292</v>
      </c>
      <c r="BN137" s="12" t="s">
        <v>2292</v>
      </c>
      <c r="BO137" s="12" t="s">
        <v>2292</v>
      </c>
      <c r="BP137" s="12"/>
      <c r="BQ137" s="12"/>
      <c r="BR137" s="12"/>
      <c r="BS137" s="12"/>
      <c r="BT137" s="12"/>
      <c r="BU137" s="12"/>
      <c r="BV137" s="12"/>
      <c r="BW137" s="12"/>
      <c r="BX137" s="12"/>
      <c r="BY137" s="13"/>
      <c r="BZ137" s="13" t="s">
        <v>6171</v>
      </c>
      <c r="CA137" s="13" t="s">
        <v>6170</v>
      </c>
      <c r="CB137" s="13" t="s">
        <v>312</v>
      </c>
      <c r="CC137" s="13"/>
      <c r="CD137" s="13" t="s">
        <v>6198</v>
      </c>
      <c r="CE137" s="13"/>
      <c r="CF137" s="13"/>
    </row>
    <row r="138" spans="1:84" ht="18.600000000000001" customHeight="1" x14ac:dyDescent="0.25">
      <c r="A138" s="35" t="s">
        <v>43</v>
      </c>
      <c r="B138" s="13" t="s">
        <v>335</v>
      </c>
      <c r="C138" s="3" t="s">
        <v>2428</v>
      </c>
      <c r="D138" s="12" t="s">
        <v>677</v>
      </c>
      <c r="E138" s="12" t="s">
        <v>676</v>
      </c>
      <c r="F138" s="12" t="s">
        <v>4010</v>
      </c>
      <c r="G138" s="25">
        <v>127929</v>
      </c>
      <c r="H138" s="25">
        <v>119090</v>
      </c>
      <c r="I138" s="25">
        <v>1131</v>
      </c>
      <c r="J138" s="25">
        <v>4543</v>
      </c>
      <c r="K138" s="25">
        <v>87658</v>
      </c>
      <c r="L138" s="25">
        <v>6333</v>
      </c>
      <c r="M138" s="25">
        <v>93991</v>
      </c>
      <c r="N138" s="31">
        <v>0.93</v>
      </c>
      <c r="O138" s="25">
        <v>744</v>
      </c>
      <c r="P138" s="25">
        <v>1752</v>
      </c>
      <c r="Q138" s="25">
        <v>2706</v>
      </c>
      <c r="R138" s="25">
        <v>358</v>
      </c>
      <c r="S138" s="25">
        <v>34</v>
      </c>
      <c r="T138" s="25">
        <v>58</v>
      </c>
      <c r="U138" s="61">
        <v>8</v>
      </c>
      <c r="V138" s="58">
        <v>1.14E-2</v>
      </c>
      <c r="W138" s="33">
        <v>1.4999999999999999E-2</v>
      </c>
      <c r="X138" s="33">
        <v>3.8999999999999998E-3</v>
      </c>
      <c r="Y138" s="33">
        <v>1.1000000000000001E-3</v>
      </c>
      <c r="Z138" s="33">
        <v>8.9999999999999998E-4</v>
      </c>
      <c r="AA138" s="33">
        <v>1.1999999999999999E-3</v>
      </c>
      <c r="AB138" s="25">
        <v>942</v>
      </c>
      <c r="AC138" s="25">
        <v>665</v>
      </c>
      <c r="AD138" s="25">
        <v>47</v>
      </c>
      <c r="AE138" s="25">
        <v>83</v>
      </c>
      <c r="AF138" s="25">
        <v>135</v>
      </c>
      <c r="AG138" s="25">
        <v>6</v>
      </c>
      <c r="AH138" s="25">
        <v>6</v>
      </c>
      <c r="AI138" s="12">
        <v>2.15</v>
      </c>
      <c r="AJ138" s="25">
        <v>15137</v>
      </c>
      <c r="AK138" s="25">
        <v>5797</v>
      </c>
      <c r="AL138" s="33">
        <v>0.62070000000000003</v>
      </c>
      <c r="AM138" s="3" t="s">
        <v>2428</v>
      </c>
      <c r="AN138" s="12" t="s">
        <v>676</v>
      </c>
      <c r="AO138" s="12" t="s">
        <v>676</v>
      </c>
      <c r="AP138" s="12" t="str">
        <f>"138124926280821"</f>
        <v>138124926280821</v>
      </c>
      <c r="AQ138" s="12" t="s">
        <v>677</v>
      </c>
      <c r="AR138" s="12" t="s">
        <v>3140</v>
      </c>
      <c r="AS138" s="12" t="s">
        <v>678</v>
      </c>
      <c r="AT138" s="12"/>
      <c r="AU138" s="12" t="s">
        <v>324</v>
      </c>
      <c r="AV138" s="12" t="s">
        <v>5797</v>
      </c>
      <c r="AW138" s="12"/>
      <c r="AX138" s="12">
        <v>7514</v>
      </c>
      <c r="AY138" s="12">
        <v>2298</v>
      </c>
      <c r="AZ138" s="12">
        <v>7514</v>
      </c>
      <c r="BA138" s="12" t="s">
        <v>679</v>
      </c>
      <c r="BB138" s="12" t="s">
        <v>6457</v>
      </c>
      <c r="BC138" s="12" t="s">
        <v>6458</v>
      </c>
      <c r="BD138" s="12"/>
      <c r="BE138" s="12" t="s">
        <v>2291</v>
      </c>
      <c r="BF138" s="12"/>
      <c r="BG138" s="12"/>
      <c r="BH138" s="12"/>
      <c r="BI138" s="12"/>
      <c r="BJ138" s="12"/>
      <c r="BK138" s="12"/>
      <c r="BL138" s="12" t="s">
        <v>2292</v>
      </c>
      <c r="BM138" s="12" t="s">
        <v>2292</v>
      </c>
      <c r="BN138" s="12" t="s">
        <v>2292</v>
      </c>
      <c r="BO138" s="12" t="s">
        <v>2292</v>
      </c>
      <c r="BP138" s="12" t="s">
        <v>680</v>
      </c>
      <c r="BQ138" s="12"/>
      <c r="BR138" s="12"/>
      <c r="BS138" s="12"/>
      <c r="BT138" s="12" t="s">
        <v>681</v>
      </c>
      <c r="BU138" s="12" t="s">
        <v>326</v>
      </c>
      <c r="BV138" s="12"/>
      <c r="BW138" s="12" t="s">
        <v>4958</v>
      </c>
      <c r="BX138" s="12"/>
      <c r="BY138" s="13" t="s">
        <v>313</v>
      </c>
      <c r="BZ138" s="13" t="s">
        <v>6170</v>
      </c>
      <c r="CA138" s="13" t="s">
        <v>6170</v>
      </c>
      <c r="CB138" s="13" t="s">
        <v>6201</v>
      </c>
      <c r="CC138" s="13"/>
      <c r="CD138" s="13" t="s">
        <v>6198</v>
      </c>
      <c r="CE138" s="13"/>
      <c r="CF138" s="13"/>
    </row>
    <row r="139" spans="1:84" ht="18.600000000000001" customHeight="1" x14ac:dyDescent="0.25">
      <c r="A139" s="60" t="s">
        <v>46</v>
      </c>
      <c r="B139" s="2" t="s">
        <v>315</v>
      </c>
      <c r="C139" s="3" t="s">
        <v>3119</v>
      </c>
      <c r="D139" s="12" t="s">
        <v>682</v>
      </c>
      <c r="E139" s="12"/>
      <c r="F139" s="12" t="s">
        <v>4462</v>
      </c>
      <c r="G139" s="25">
        <v>0</v>
      </c>
      <c r="H139" s="25">
        <v>0</v>
      </c>
      <c r="I139" s="25">
        <v>0</v>
      </c>
      <c r="J139" s="25">
        <v>0</v>
      </c>
      <c r="K139" s="25">
        <v>0</v>
      </c>
      <c r="L139" s="25">
        <v>0</v>
      </c>
      <c r="M139" s="25">
        <v>0</v>
      </c>
      <c r="N139" s="31">
        <v>0</v>
      </c>
      <c r="O139" s="25">
        <v>9</v>
      </c>
      <c r="P139" s="25">
        <v>0</v>
      </c>
      <c r="Q139" s="25">
        <v>0</v>
      </c>
      <c r="R139" s="25">
        <v>0</v>
      </c>
      <c r="S139" s="25">
        <v>0</v>
      </c>
      <c r="T139" s="25">
        <v>0</v>
      </c>
      <c r="U139" s="61">
        <v>0</v>
      </c>
      <c r="V139" s="58">
        <v>0</v>
      </c>
      <c r="W139" s="12" t="s">
        <v>3926</v>
      </c>
      <c r="X139" s="12" t="s">
        <v>3926</v>
      </c>
      <c r="Y139" s="12" t="s">
        <v>3926</v>
      </c>
      <c r="Z139" s="12" t="s">
        <v>3926</v>
      </c>
      <c r="AA139" s="12" t="s">
        <v>3926</v>
      </c>
      <c r="AB139" s="25">
        <v>1</v>
      </c>
      <c r="AC139" s="25">
        <v>0</v>
      </c>
      <c r="AD139" s="25">
        <v>0</v>
      </c>
      <c r="AE139" s="25">
        <v>0</v>
      </c>
      <c r="AF139" s="25">
        <v>0</v>
      </c>
      <c r="AG139" s="25">
        <v>1</v>
      </c>
      <c r="AH139" s="25">
        <v>0</v>
      </c>
      <c r="AI139" s="12">
        <v>0</v>
      </c>
      <c r="AJ139" s="25">
        <v>904</v>
      </c>
      <c r="AK139" s="25">
        <v>3</v>
      </c>
      <c r="AL139" s="33">
        <v>3.3E-3</v>
      </c>
      <c r="AM139" s="3" t="s">
        <v>3119</v>
      </c>
      <c r="AN139" s="12" t="s">
        <v>5298</v>
      </c>
      <c r="AO139" s="12"/>
      <c r="AP139" s="12" t="str">
        <f>"292935125286"</f>
        <v>292935125286</v>
      </c>
      <c r="AQ139" s="12" t="s">
        <v>682</v>
      </c>
      <c r="AR139" s="12" t="s">
        <v>683</v>
      </c>
      <c r="AS139" s="12" t="s">
        <v>684</v>
      </c>
      <c r="AT139" s="12"/>
      <c r="AU139" s="12" t="s">
        <v>5299</v>
      </c>
      <c r="AV139" s="12"/>
      <c r="AW139" s="12"/>
      <c r="AX139" s="12">
        <v>0</v>
      </c>
      <c r="AY139" s="12">
        <v>0</v>
      </c>
      <c r="AZ139" s="12">
        <v>0</v>
      </c>
      <c r="BA139" s="12" t="s">
        <v>685</v>
      </c>
      <c r="BB139" s="12"/>
      <c r="BC139" s="12"/>
      <c r="BD139" s="12"/>
      <c r="BE139" s="12" t="s">
        <v>2291</v>
      </c>
      <c r="BF139" s="12"/>
      <c r="BG139" s="12"/>
      <c r="BH139" s="12"/>
      <c r="BI139" s="12"/>
      <c r="BJ139" s="12"/>
      <c r="BK139" s="12"/>
      <c r="BL139" s="12" t="s">
        <v>2292</v>
      </c>
      <c r="BM139" s="12" t="s">
        <v>2292</v>
      </c>
      <c r="BN139" s="12" t="s">
        <v>2292</v>
      </c>
      <c r="BO139" s="12" t="s">
        <v>2292</v>
      </c>
      <c r="BP139" s="12" t="s">
        <v>686</v>
      </c>
      <c r="BQ139" s="12"/>
      <c r="BR139" s="12"/>
      <c r="BS139" s="12"/>
      <c r="BT139" s="12"/>
      <c r="BU139" s="12"/>
      <c r="BV139" s="12"/>
      <c r="BW139" s="12"/>
      <c r="BX139" s="12"/>
      <c r="BY139" s="14" t="s">
        <v>687</v>
      </c>
      <c r="BZ139" s="13" t="s">
        <v>6170</v>
      </c>
      <c r="CA139" s="13" t="s">
        <v>6170</v>
      </c>
      <c r="CB139" s="13" t="s">
        <v>312</v>
      </c>
      <c r="CC139" s="13"/>
      <c r="CD139" s="13" t="s">
        <v>6198</v>
      </c>
      <c r="CE139" s="13" t="s">
        <v>6184</v>
      </c>
      <c r="CF139" s="13"/>
    </row>
    <row r="140" spans="1:84" ht="18.600000000000001" customHeight="1" x14ac:dyDescent="0.25">
      <c r="A140" s="60" t="s">
        <v>47</v>
      </c>
      <c r="B140" s="2" t="s">
        <v>335</v>
      </c>
      <c r="C140" s="3" t="s">
        <v>2691</v>
      </c>
      <c r="D140" s="12" t="s">
        <v>689</v>
      </c>
      <c r="E140" s="12" t="s">
        <v>688</v>
      </c>
      <c r="F140" s="12" t="s">
        <v>4172</v>
      </c>
      <c r="G140" s="25">
        <v>2520</v>
      </c>
      <c r="H140" s="25">
        <v>2123</v>
      </c>
      <c r="I140" s="25">
        <v>210</v>
      </c>
      <c r="J140" s="25">
        <v>134</v>
      </c>
      <c r="K140" s="25">
        <v>0</v>
      </c>
      <c r="L140" s="25">
        <v>0</v>
      </c>
      <c r="M140" s="25">
        <v>0</v>
      </c>
      <c r="N140" s="31">
        <v>0</v>
      </c>
      <c r="O140" s="25">
        <v>0</v>
      </c>
      <c r="P140" s="25">
        <v>0</v>
      </c>
      <c r="Q140" s="25">
        <v>38</v>
      </c>
      <c r="R140" s="25">
        <v>3</v>
      </c>
      <c r="S140" s="25">
        <v>10</v>
      </c>
      <c r="T140" s="25">
        <v>0</v>
      </c>
      <c r="U140" s="61">
        <v>2</v>
      </c>
      <c r="V140" s="58">
        <v>1.8E-3</v>
      </c>
      <c r="W140" s="33">
        <v>3.8E-3</v>
      </c>
      <c r="X140" s="12" t="s">
        <v>3926</v>
      </c>
      <c r="Y140" s="33">
        <v>1.5E-3</v>
      </c>
      <c r="Z140" s="12" t="s">
        <v>3926</v>
      </c>
      <c r="AA140" s="12" t="s">
        <v>3926</v>
      </c>
      <c r="AB140" s="25">
        <v>61</v>
      </c>
      <c r="AC140" s="25">
        <v>9</v>
      </c>
      <c r="AD140" s="25">
        <v>0</v>
      </c>
      <c r="AE140" s="25">
        <v>52</v>
      </c>
      <c r="AF140" s="25">
        <v>0</v>
      </c>
      <c r="AG140" s="25">
        <v>0</v>
      </c>
      <c r="AH140" s="25">
        <v>0</v>
      </c>
      <c r="AI140" s="12">
        <v>0.14000000000000001</v>
      </c>
      <c r="AJ140" s="25">
        <v>26205</v>
      </c>
      <c r="AK140" s="25">
        <v>7315</v>
      </c>
      <c r="AL140" s="33">
        <v>0.38719999999999999</v>
      </c>
      <c r="AM140" s="3" t="s">
        <v>2691</v>
      </c>
      <c r="AN140" s="12" t="s">
        <v>688</v>
      </c>
      <c r="AO140" s="12" t="s">
        <v>688</v>
      </c>
      <c r="AP140" s="12" t="str">
        <f>"362270867231942"</f>
        <v>362270867231942</v>
      </c>
      <c r="AQ140" s="12" t="s">
        <v>689</v>
      </c>
      <c r="AR140" s="12" t="s">
        <v>690</v>
      </c>
      <c r="AS140" s="12" t="s">
        <v>2692</v>
      </c>
      <c r="AT140" s="12"/>
      <c r="AU140" s="12" t="s">
        <v>324</v>
      </c>
      <c r="AV140" s="12" t="s">
        <v>5769</v>
      </c>
      <c r="AW140" s="12"/>
      <c r="AX140" s="12">
        <v>5758</v>
      </c>
      <c r="AY140" s="12">
        <v>81</v>
      </c>
      <c r="AZ140" s="12">
        <v>5758</v>
      </c>
      <c r="BA140" s="12" t="s">
        <v>691</v>
      </c>
      <c r="BB140" s="12" t="s">
        <v>6819</v>
      </c>
      <c r="BC140" s="12" t="s">
        <v>6820</v>
      </c>
      <c r="BD140" s="12"/>
      <c r="BE140" s="12" t="s">
        <v>2291</v>
      </c>
      <c r="BF140" s="12"/>
      <c r="BG140" s="12"/>
      <c r="BH140" s="12"/>
      <c r="BI140" s="12"/>
      <c r="BJ140" s="12"/>
      <c r="BK140" s="12"/>
      <c r="BL140" s="12" t="s">
        <v>2292</v>
      </c>
      <c r="BM140" s="12" t="s">
        <v>2292</v>
      </c>
      <c r="BN140" s="12" t="s">
        <v>2292</v>
      </c>
      <c r="BO140" s="12" t="s">
        <v>2292</v>
      </c>
      <c r="BP140" s="12"/>
      <c r="BQ140" s="12"/>
      <c r="BR140" s="12"/>
      <c r="BS140" s="12"/>
      <c r="BT140" s="12">
        <v>249183777405</v>
      </c>
      <c r="BU140" s="12" t="s">
        <v>326</v>
      </c>
      <c r="BV140" s="12"/>
      <c r="BW140" s="12" t="s">
        <v>4589</v>
      </c>
      <c r="BX140" s="12"/>
      <c r="BY140" s="13" t="s">
        <v>313</v>
      </c>
      <c r="BZ140" s="13" t="s">
        <v>6170</v>
      </c>
      <c r="CA140" s="13" t="s">
        <v>6170</v>
      </c>
      <c r="CB140" s="13" t="s">
        <v>6197</v>
      </c>
      <c r="CC140" s="13"/>
      <c r="CD140" s="13" t="s">
        <v>6198</v>
      </c>
      <c r="CE140" s="13"/>
      <c r="CF140" s="13"/>
    </row>
    <row r="141" spans="1:84" ht="18.600000000000001" customHeight="1" x14ac:dyDescent="0.25">
      <c r="A141" s="60" t="s">
        <v>48</v>
      </c>
      <c r="B141" s="2" t="s">
        <v>3153</v>
      </c>
      <c r="C141" s="3" t="s">
        <v>3731</v>
      </c>
      <c r="D141" s="12" t="s">
        <v>3811</v>
      </c>
      <c r="E141" s="12" t="s">
        <v>3810</v>
      </c>
      <c r="F141" s="12" t="s">
        <v>4393</v>
      </c>
      <c r="G141" s="25">
        <v>3982</v>
      </c>
      <c r="H141" s="25">
        <v>3314</v>
      </c>
      <c r="I141" s="25">
        <v>425</v>
      </c>
      <c r="J141" s="25">
        <v>178</v>
      </c>
      <c r="K141" s="25">
        <v>376</v>
      </c>
      <c r="L141" s="25">
        <v>19</v>
      </c>
      <c r="M141" s="25">
        <v>395</v>
      </c>
      <c r="N141" s="31">
        <v>0.95</v>
      </c>
      <c r="O141" s="25">
        <v>0</v>
      </c>
      <c r="P141" s="25">
        <v>0</v>
      </c>
      <c r="Q141" s="25">
        <v>52</v>
      </c>
      <c r="R141" s="25">
        <v>7</v>
      </c>
      <c r="S141" s="25">
        <v>1</v>
      </c>
      <c r="T141" s="25">
        <v>0</v>
      </c>
      <c r="U141" s="61">
        <v>5</v>
      </c>
      <c r="V141" s="58">
        <v>9.2999999999999992E-3</v>
      </c>
      <c r="W141" s="33">
        <v>9.4000000000000004E-3</v>
      </c>
      <c r="X141" s="12" t="s">
        <v>3926</v>
      </c>
      <c r="Y141" s="12" t="s">
        <v>3926</v>
      </c>
      <c r="Z141" s="33">
        <v>4.5999999999999999E-3</v>
      </c>
      <c r="AA141" s="12" t="s">
        <v>3926</v>
      </c>
      <c r="AB141" s="25">
        <v>25</v>
      </c>
      <c r="AC141" s="25">
        <v>24</v>
      </c>
      <c r="AD141" s="25">
        <v>0</v>
      </c>
      <c r="AE141" s="25">
        <v>0</v>
      </c>
      <c r="AF141" s="25">
        <v>1</v>
      </c>
      <c r="AG141" s="25">
        <v>0</v>
      </c>
      <c r="AH141" s="25">
        <v>0</v>
      </c>
      <c r="AI141" s="12">
        <v>0.06</v>
      </c>
      <c r="AJ141" s="25">
        <v>19328</v>
      </c>
      <c r="AK141" s="25">
        <v>4054</v>
      </c>
      <c r="AL141" s="33">
        <v>0.26540000000000002</v>
      </c>
      <c r="AM141" s="3" t="s">
        <v>3731</v>
      </c>
      <c r="AN141" s="12" t="s">
        <v>3810</v>
      </c>
      <c r="AO141" s="12" t="s">
        <v>3810</v>
      </c>
      <c r="AP141" s="12" t="str">
        <f>"851689241534485"</f>
        <v>851689241534485</v>
      </c>
      <c r="AQ141" s="12" t="s">
        <v>3811</v>
      </c>
      <c r="AR141" s="12" t="s">
        <v>3812</v>
      </c>
      <c r="AS141" s="12" t="s">
        <v>3813</v>
      </c>
      <c r="AT141" s="12" t="s">
        <v>3814</v>
      </c>
      <c r="AU141" s="12" t="s">
        <v>309</v>
      </c>
      <c r="AV141" s="12"/>
      <c r="AW141" s="12"/>
      <c r="AX141" s="12">
        <v>0</v>
      </c>
      <c r="AY141" s="12">
        <v>142</v>
      </c>
      <c r="AZ141" s="12">
        <v>0</v>
      </c>
      <c r="BA141" s="12" t="s">
        <v>3815</v>
      </c>
      <c r="BB141" s="12"/>
      <c r="BC141" s="12" t="s">
        <v>7317</v>
      </c>
      <c r="BD141" s="12"/>
      <c r="BE141" s="12" t="s">
        <v>2291</v>
      </c>
      <c r="BF141" s="12"/>
      <c r="BG141" s="12"/>
      <c r="BH141" s="12"/>
      <c r="BI141" s="12"/>
      <c r="BJ141" s="12"/>
      <c r="BK141" s="12"/>
      <c r="BL141" s="12" t="s">
        <v>2292</v>
      </c>
      <c r="BM141" s="12" t="s">
        <v>2292</v>
      </c>
      <c r="BN141" s="12" t="s">
        <v>2292</v>
      </c>
      <c r="BO141" s="12" t="s">
        <v>2292</v>
      </c>
      <c r="BP141" s="12"/>
      <c r="BQ141" s="12"/>
      <c r="BR141" s="12"/>
      <c r="BS141" s="12"/>
      <c r="BT141" s="12"/>
      <c r="BU141" s="12"/>
      <c r="BV141" s="12"/>
      <c r="BW141" s="12"/>
      <c r="BX141" s="12"/>
      <c r="BY141" s="13" t="s">
        <v>313</v>
      </c>
      <c r="BZ141" s="13" t="s">
        <v>312</v>
      </c>
      <c r="CA141" s="13"/>
      <c r="CB141" s="13"/>
      <c r="CC141" s="13"/>
      <c r="CD141" s="13"/>
      <c r="CE141" s="13"/>
      <c r="CF141" s="13"/>
    </row>
    <row r="142" spans="1:84" ht="18.600000000000001" customHeight="1" x14ac:dyDescent="0.25">
      <c r="A142" s="60" t="s">
        <v>49</v>
      </c>
      <c r="B142" s="2" t="s">
        <v>692</v>
      </c>
      <c r="C142" s="3" t="s">
        <v>5197</v>
      </c>
      <c r="D142" s="12" t="s">
        <v>4047</v>
      </c>
      <c r="E142" s="12" t="s">
        <v>50</v>
      </c>
      <c r="F142" s="12" t="s">
        <v>4048</v>
      </c>
      <c r="G142" s="25">
        <v>125380</v>
      </c>
      <c r="H142" s="25">
        <v>99873</v>
      </c>
      <c r="I142" s="25">
        <v>13176</v>
      </c>
      <c r="J142" s="25">
        <v>9049</v>
      </c>
      <c r="K142" s="25">
        <v>204076</v>
      </c>
      <c r="L142" s="25">
        <v>118800</v>
      </c>
      <c r="M142" s="25">
        <v>322876</v>
      </c>
      <c r="N142" s="31">
        <v>0.63</v>
      </c>
      <c r="O142" s="25">
        <v>3679</v>
      </c>
      <c r="P142" s="25">
        <v>126</v>
      </c>
      <c r="Q142" s="25">
        <v>2243</v>
      </c>
      <c r="R142" s="25">
        <v>95</v>
      </c>
      <c r="S142" s="25">
        <v>432</v>
      </c>
      <c r="T142" s="25">
        <v>188</v>
      </c>
      <c r="U142" s="61">
        <v>321</v>
      </c>
      <c r="V142" s="58">
        <v>0.01</v>
      </c>
      <c r="W142" s="33">
        <v>1.2200000000000001E-2</v>
      </c>
      <c r="X142" s="33">
        <v>1.2800000000000001E-2</v>
      </c>
      <c r="Y142" s="33">
        <v>6.1999999999999998E-3</v>
      </c>
      <c r="Z142" s="33">
        <v>6.7000000000000002E-3</v>
      </c>
      <c r="AA142" s="33">
        <v>9.2999999999999992E-3</v>
      </c>
      <c r="AB142" s="25">
        <v>103</v>
      </c>
      <c r="AC142" s="25">
        <v>53</v>
      </c>
      <c r="AD142" s="25">
        <v>2</v>
      </c>
      <c r="AE142" s="25">
        <v>10</v>
      </c>
      <c r="AF142" s="25">
        <v>30</v>
      </c>
      <c r="AG142" s="25">
        <v>1</v>
      </c>
      <c r="AH142" s="25">
        <v>7</v>
      </c>
      <c r="AI142" s="12">
        <v>0.23</v>
      </c>
      <c r="AJ142" s="25">
        <v>150077</v>
      </c>
      <c r="AK142" s="25">
        <v>47231</v>
      </c>
      <c r="AL142" s="33">
        <v>0.4592</v>
      </c>
      <c r="AM142" s="3" t="s">
        <v>5197</v>
      </c>
      <c r="AN142" s="12" t="s">
        <v>50</v>
      </c>
      <c r="AO142" s="12" t="s">
        <v>50</v>
      </c>
      <c r="AP142" s="12" t="str">
        <f>"1559909144238576"</f>
        <v>1559909144238576</v>
      </c>
      <c r="AQ142" s="12" t="s">
        <v>4047</v>
      </c>
      <c r="AR142" s="12" t="s">
        <v>5280</v>
      </c>
      <c r="AS142" s="12" t="s">
        <v>4551</v>
      </c>
      <c r="AT142" s="12"/>
      <c r="AU142" s="12" t="s">
        <v>309</v>
      </c>
      <c r="AV142" s="12"/>
      <c r="AW142" s="12"/>
      <c r="AX142" s="12">
        <v>0</v>
      </c>
      <c r="AY142" s="12">
        <v>1571</v>
      </c>
      <c r="AZ142" s="12">
        <v>0</v>
      </c>
      <c r="BA142" s="12" t="s">
        <v>5281</v>
      </c>
      <c r="BB142" s="12"/>
      <c r="BC142" s="12" t="s">
        <v>6543</v>
      </c>
      <c r="BD142" s="12"/>
      <c r="BE142" s="12" t="s">
        <v>2291</v>
      </c>
      <c r="BF142" s="12"/>
      <c r="BG142" s="12"/>
      <c r="BH142" s="12"/>
      <c r="BI142" s="12" t="s">
        <v>5282</v>
      </c>
      <c r="BJ142" s="12"/>
      <c r="BK142" s="12"/>
      <c r="BL142" s="12" t="s">
        <v>2292</v>
      </c>
      <c r="BM142" s="12" t="s">
        <v>2292</v>
      </c>
      <c r="BN142" s="12" t="s">
        <v>2292</v>
      </c>
      <c r="BO142" s="12" t="s">
        <v>2291</v>
      </c>
      <c r="BP142" s="12"/>
      <c r="BQ142" s="12"/>
      <c r="BR142" s="12"/>
      <c r="BS142" s="12"/>
      <c r="BT142" s="12"/>
      <c r="BU142" s="12"/>
      <c r="BV142" s="12"/>
      <c r="BW142" s="12"/>
      <c r="BX142" s="12"/>
      <c r="BY142" s="13" t="s">
        <v>313</v>
      </c>
      <c r="BZ142" s="13" t="s">
        <v>6170</v>
      </c>
      <c r="CA142" s="13" t="s">
        <v>6170</v>
      </c>
      <c r="CB142" s="13" t="s">
        <v>6202</v>
      </c>
      <c r="CC142" s="13" t="s">
        <v>6187</v>
      </c>
      <c r="CD142" s="13" t="s">
        <v>6195</v>
      </c>
      <c r="CE142" s="13"/>
      <c r="CF142" s="13"/>
    </row>
    <row r="143" spans="1:84" ht="18.600000000000001" customHeight="1" x14ac:dyDescent="0.25">
      <c r="A143" s="60" t="s">
        <v>49</v>
      </c>
      <c r="B143" s="2" t="s">
        <v>314</v>
      </c>
      <c r="C143" s="3" t="s">
        <v>3383</v>
      </c>
      <c r="D143" s="12" t="s">
        <v>3354</v>
      </c>
      <c r="E143" s="12" t="s">
        <v>3353</v>
      </c>
      <c r="F143" s="12" t="s">
        <v>4292</v>
      </c>
      <c r="G143" s="25">
        <v>14440</v>
      </c>
      <c r="H143" s="25">
        <v>12008</v>
      </c>
      <c r="I143" s="25">
        <v>1088</v>
      </c>
      <c r="J143" s="25">
        <v>1037</v>
      </c>
      <c r="K143" s="25">
        <v>10894</v>
      </c>
      <c r="L143" s="25">
        <v>25436</v>
      </c>
      <c r="M143" s="25">
        <v>36330</v>
      </c>
      <c r="N143" s="31">
        <v>0.3</v>
      </c>
      <c r="O143" s="25">
        <v>0</v>
      </c>
      <c r="P143" s="25">
        <v>907</v>
      </c>
      <c r="Q143" s="25">
        <v>197</v>
      </c>
      <c r="R143" s="25">
        <v>9</v>
      </c>
      <c r="S143" s="25">
        <v>24</v>
      </c>
      <c r="T143" s="25">
        <v>22</v>
      </c>
      <c r="U143" s="61">
        <v>55</v>
      </c>
      <c r="V143" s="58">
        <v>1.14E-2</v>
      </c>
      <c r="W143" s="33">
        <v>6.1000000000000004E-3</v>
      </c>
      <c r="X143" s="33">
        <v>1.2500000000000001E-2</v>
      </c>
      <c r="Y143" s="33">
        <v>8.3000000000000001E-3</v>
      </c>
      <c r="Z143" s="33">
        <v>1.52E-2</v>
      </c>
      <c r="AA143" s="33">
        <v>8.3999999999999995E-3</v>
      </c>
      <c r="AB143" s="25">
        <v>131</v>
      </c>
      <c r="AC143" s="25">
        <v>87</v>
      </c>
      <c r="AD143" s="25">
        <v>12</v>
      </c>
      <c r="AE143" s="25">
        <v>2</v>
      </c>
      <c r="AF143" s="25">
        <v>12</v>
      </c>
      <c r="AG143" s="25">
        <v>0</v>
      </c>
      <c r="AH143" s="25">
        <v>18</v>
      </c>
      <c r="AI143" s="12">
        <v>0.3</v>
      </c>
      <c r="AJ143" s="25">
        <v>36416</v>
      </c>
      <c r="AK143" s="25">
        <v>36022</v>
      </c>
      <c r="AL143" s="33">
        <v>91.426400000000001</v>
      </c>
      <c r="AM143" s="3" t="s">
        <v>3383</v>
      </c>
      <c r="AN143" s="12" t="s">
        <v>3353</v>
      </c>
      <c r="AO143" s="12" t="s">
        <v>3353</v>
      </c>
      <c r="AP143" s="12" t="str">
        <f>"312681118935845"</f>
        <v>312681118935845</v>
      </c>
      <c r="AQ143" s="12" t="s">
        <v>3354</v>
      </c>
      <c r="AR143" s="12" t="s">
        <v>5280</v>
      </c>
      <c r="AS143" s="12" t="s">
        <v>3799</v>
      </c>
      <c r="AT143" s="12"/>
      <c r="AU143" s="12" t="s">
        <v>324</v>
      </c>
      <c r="AV143" s="12"/>
      <c r="AW143" s="12"/>
      <c r="AX143" s="12">
        <v>0</v>
      </c>
      <c r="AY143" s="12">
        <v>136</v>
      </c>
      <c r="AZ143" s="12">
        <v>0</v>
      </c>
      <c r="BA143" s="12" t="s">
        <v>3355</v>
      </c>
      <c r="BB143" s="12"/>
      <c r="BC143" s="12" t="s">
        <v>7083</v>
      </c>
      <c r="BD143" s="12"/>
      <c r="BE143" s="12" t="s">
        <v>2291</v>
      </c>
      <c r="BF143" s="12"/>
      <c r="BG143" s="12"/>
      <c r="BH143" s="12"/>
      <c r="BI143" s="12"/>
      <c r="BJ143" s="12"/>
      <c r="BK143" s="12"/>
      <c r="BL143" s="12" t="s">
        <v>2292</v>
      </c>
      <c r="BM143" s="12" t="s">
        <v>2292</v>
      </c>
      <c r="BN143" s="12" t="s">
        <v>2292</v>
      </c>
      <c r="BO143" s="12" t="s">
        <v>2291</v>
      </c>
      <c r="BP143" s="12"/>
      <c r="BQ143" s="12"/>
      <c r="BR143" s="12"/>
      <c r="BS143" s="12"/>
      <c r="BT143" s="12"/>
      <c r="BU143" s="12"/>
      <c r="BV143" s="12"/>
      <c r="BW143" s="12"/>
      <c r="BX143" s="12"/>
      <c r="BY143" s="13" t="s">
        <v>313</v>
      </c>
      <c r="BZ143" s="13" t="s">
        <v>6170</v>
      </c>
      <c r="CA143" s="13" t="s">
        <v>6170</v>
      </c>
      <c r="CB143" s="13" t="s">
        <v>6197</v>
      </c>
      <c r="CC143" s="13"/>
      <c r="CD143" s="13" t="s">
        <v>6198</v>
      </c>
      <c r="CE143" s="13"/>
      <c r="CF143" s="13"/>
    </row>
    <row r="144" spans="1:84" ht="18.600000000000001" customHeight="1" x14ac:dyDescent="0.25">
      <c r="A144" s="60" t="s">
        <v>49</v>
      </c>
      <c r="B144" s="2" t="s">
        <v>315</v>
      </c>
      <c r="C144" s="3" t="s">
        <v>2949</v>
      </c>
      <c r="D144" s="12" t="s">
        <v>694</v>
      </c>
      <c r="E144" s="12"/>
      <c r="F144" s="12" t="s">
        <v>4479</v>
      </c>
      <c r="G144" s="25">
        <v>128318</v>
      </c>
      <c r="H144" s="25">
        <v>100273</v>
      </c>
      <c r="I144" s="25">
        <v>8806</v>
      </c>
      <c r="J144" s="25">
        <v>12758</v>
      </c>
      <c r="K144" s="25">
        <v>0</v>
      </c>
      <c r="L144" s="25">
        <v>0</v>
      </c>
      <c r="M144" s="25">
        <v>0</v>
      </c>
      <c r="N144" s="31">
        <v>0</v>
      </c>
      <c r="O144" s="25">
        <v>0</v>
      </c>
      <c r="P144" s="25">
        <v>0</v>
      </c>
      <c r="Q144" s="25">
        <v>2249</v>
      </c>
      <c r="R144" s="25">
        <v>436</v>
      </c>
      <c r="S144" s="25">
        <v>2415</v>
      </c>
      <c r="T144" s="25">
        <v>623</v>
      </c>
      <c r="U144" s="61">
        <v>758</v>
      </c>
      <c r="V144" s="58">
        <v>4.0000000000000002E-4</v>
      </c>
      <c r="W144" s="33">
        <v>2.0000000000000001E-4</v>
      </c>
      <c r="X144" s="33">
        <v>4.0000000000000002E-4</v>
      </c>
      <c r="Y144" s="12" t="s">
        <v>3926</v>
      </c>
      <c r="Z144" s="12" t="s">
        <v>3926</v>
      </c>
      <c r="AA144" s="12" t="s">
        <v>3926</v>
      </c>
      <c r="AB144" s="25">
        <v>3406</v>
      </c>
      <c r="AC144" s="25">
        <v>13</v>
      </c>
      <c r="AD144" s="25">
        <v>3393</v>
      </c>
      <c r="AE144" s="25">
        <v>0</v>
      </c>
      <c r="AF144" s="25">
        <v>0</v>
      </c>
      <c r="AG144" s="25">
        <v>0</v>
      </c>
      <c r="AH144" s="25">
        <v>0</v>
      </c>
      <c r="AI144" s="12">
        <v>7.76</v>
      </c>
      <c r="AJ144" s="25">
        <v>96227</v>
      </c>
      <c r="AK144" s="25">
        <v>8447</v>
      </c>
      <c r="AL144" s="33">
        <v>9.6199999999999994E-2</v>
      </c>
      <c r="AM144" s="3" t="s">
        <v>2949</v>
      </c>
      <c r="AN144" s="12" t="s">
        <v>5444</v>
      </c>
      <c r="AO144" s="12"/>
      <c r="AP144" s="12" t="str">
        <f>"6683533941"</f>
        <v>6683533941</v>
      </c>
      <c r="AQ144" s="12" t="s">
        <v>694</v>
      </c>
      <c r="AR144" s="12" t="s">
        <v>695</v>
      </c>
      <c r="AS144" s="12" t="s">
        <v>4938</v>
      </c>
      <c r="AT144" s="12"/>
      <c r="AU144" s="12" t="s">
        <v>324</v>
      </c>
      <c r="AV144" s="12"/>
      <c r="AW144" s="12"/>
      <c r="AX144" s="12">
        <v>0</v>
      </c>
      <c r="AY144" s="12">
        <v>764</v>
      </c>
      <c r="AZ144" s="12">
        <v>0</v>
      </c>
      <c r="BA144" s="12" t="s">
        <v>696</v>
      </c>
      <c r="BB144" s="12" t="s">
        <v>5998</v>
      </c>
      <c r="BC144" s="12" t="s">
        <v>7192</v>
      </c>
      <c r="BD144" s="12"/>
      <c r="BE144" s="12" t="s">
        <v>2291</v>
      </c>
      <c r="BF144" s="12"/>
      <c r="BG144" s="12"/>
      <c r="BH144" s="12"/>
      <c r="BI144" s="12"/>
      <c r="BJ144" s="12"/>
      <c r="BK144" s="12"/>
      <c r="BL144" s="12" t="s">
        <v>2292</v>
      </c>
      <c r="BM144" s="12" t="s">
        <v>2292</v>
      </c>
      <c r="BN144" s="12" t="s">
        <v>2292</v>
      </c>
      <c r="BO144" s="12" t="s">
        <v>2292</v>
      </c>
      <c r="BP144" s="12"/>
      <c r="BQ144" s="12"/>
      <c r="BR144" s="12"/>
      <c r="BS144" s="12"/>
      <c r="BT144" s="12"/>
      <c r="BU144" s="12"/>
      <c r="BV144" s="12"/>
      <c r="BW144" s="12" t="s">
        <v>693</v>
      </c>
      <c r="BX144" s="12"/>
      <c r="BY144" s="13" t="s">
        <v>313</v>
      </c>
      <c r="BZ144" s="13" t="s">
        <v>6170</v>
      </c>
      <c r="CA144" s="13" t="s">
        <v>6170</v>
      </c>
      <c r="CB144" s="13" t="s">
        <v>312</v>
      </c>
      <c r="CC144" s="13"/>
      <c r="CD144" s="13" t="s">
        <v>6198</v>
      </c>
      <c r="CE144" s="13"/>
      <c r="CF144" s="13"/>
    </row>
    <row r="145" spans="1:84" ht="18.600000000000001" customHeight="1" x14ac:dyDescent="0.25">
      <c r="A145" s="60" t="s">
        <v>49</v>
      </c>
      <c r="B145" s="2" t="s">
        <v>700</v>
      </c>
      <c r="C145" s="3" t="s">
        <v>2944</v>
      </c>
      <c r="D145" s="12" t="s">
        <v>697</v>
      </c>
      <c r="E145" s="12" t="s">
        <v>51</v>
      </c>
      <c r="F145" s="12" t="s">
        <v>4336</v>
      </c>
      <c r="G145" s="25">
        <v>8097</v>
      </c>
      <c r="H145" s="25">
        <v>7639</v>
      </c>
      <c r="I145" s="25">
        <v>122</v>
      </c>
      <c r="J145" s="25">
        <v>269</v>
      </c>
      <c r="K145" s="25">
        <v>466</v>
      </c>
      <c r="L145" s="25">
        <v>210</v>
      </c>
      <c r="M145" s="25">
        <v>676</v>
      </c>
      <c r="N145" s="31">
        <v>0.69</v>
      </c>
      <c r="O145" s="25">
        <v>175</v>
      </c>
      <c r="P145" s="25">
        <v>0</v>
      </c>
      <c r="Q145" s="25">
        <v>51</v>
      </c>
      <c r="R145" s="25">
        <v>1</v>
      </c>
      <c r="S145" s="25">
        <v>7</v>
      </c>
      <c r="T145" s="25">
        <v>2</v>
      </c>
      <c r="U145" s="61">
        <v>6</v>
      </c>
      <c r="V145" s="58">
        <v>3.44E-2</v>
      </c>
      <c r="W145" s="33">
        <v>6.93E-2</v>
      </c>
      <c r="X145" s="33">
        <v>1.72E-2</v>
      </c>
      <c r="Y145" s="12" t="s">
        <v>3926</v>
      </c>
      <c r="Z145" s="33">
        <v>0.01</v>
      </c>
      <c r="AA145" s="33">
        <v>5.5999999999999999E-3</v>
      </c>
      <c r="AB145" s="25">
        <v>146</v>
      </c>
      <c r="AC145" s="25">
        <v>21</v>
      </c>
      <c r="AD145" s="25">
        <v>116</v>
      </c>
      <c r="AE145" s="25">
        <v>0</v>
      </c>
      <c r="AF145" s="25">
        <v>2</v>
      </c>
      <c r="AG145" s="25">
        <v>2</v>
      </c>
      <c r="AH145" s="25">
        <v>5</v>
      </c>
      <c r="AI145" s="12">
        <v>0.33</v>
      </c>
      <c r="AJ145" s="25">
        <v>3870</v>
      </c>
      <c r="AK145" s="25">
        <v>3192</v>
      </c>
      <c r="AL145" s="33">
        <v>4.7080000000000002</v>
      </c>
      <c r="AM145" s="3" t="s">
        <v>2944</v>
      </c>
      <c r="AN145" s="12" t="s">
        <v>51</v>
      </c>
      <c r="AO145" s="12" t="s">
        <v>51</v>
      </c>
      <c r="AP145" s="12" t="str">
        <f>"465458790307414"</f>
        <v>465458790307414</v>
      </c>
      <c r="AQ145" s="12" t="s">
        <v>697</v>
      </c>
      <c r="AR145" s="12" t="s">
        <v>4629</v>
      </c>
      <c r="AS145" s="12" t="s">
        <v>698</v>
      </c>
      <c r="AT145" s="12"/>
      <c r="AU145" s="12" t="s">
        <v>309</v>
      </c>
      <c r="AV145" s="12"/>
      <c r="AW145" s="12"/>
      <c r="AX145" s="12">
        <v>0</v>
      </c>
      <c r="AY145" s="12">
        <v>4</v>
      </c>
      <c r="AZ145" s="12">
        <v>0</v>
      </c>
      <c r="BA145" s="12" t="s">
        <v>699</v>
      </c>
      <c r="BB145" s="12"/>
      <c r="BC145" s="12" t="s">
        <v>7188</v>
      </c>
      <c r="BD145" s="12"/>
      <c r="BE145" s="12" t="s">
        <v>2291</v>
      </c>
      <c r="BF145" s="12"/>
      <c r="BG145" s="12"/>
      <c r="BH145" s="12"/>
      <c r="BI145" s="12"/>
      <c r="BJ145" s="12"/>
      <c r="BK145" s="12"/>
      <c r="BL145" s="12" t="s">
        <v>2292</v>
      </c>
      <c r="BM145" s="12" t="s">
        <v>2292</v>
      </c>
      <c r="BN145" s="12" t="s">
        <v>2292</v>
      </c>
      <c r="BO145" s="12" t="s">
        <v>2292</v>
      </c>
      <c r="BP145" s="12"/>
      <c r="BQ145" s="12"/>
      <c r="BR145" s="12"/>
      <c r="BS145" s="12"/>
      <c r="BT145" s="12"/>
      <c r="BU145" s="12"/>
      <c r="BV145" s="12"/>
      <c r="BW145" s="12"/>
      <c r="BX145" s="12"/>
      <c r="BY145" s="13" t="s">
        <v>313</v>
      </c>
      <c r="BZ145" s="13" t="s">
        <v>312</v>
      </c>
      <c r="CA145" s="13"/>
      <c r="CB145" s="13"/>
      <c r="CC145" s="13"/>
      <c r="CD145" s="13"/>
      <c r="CE145" s="13"/>
      <c r="CF145" s="13" t="s">
        <v>6178</v>
      </c>
    </row>
    <row r="146" spans="1:84" ht="18.600000000000001" customHeight="1" x14ac:dyDescent="0.25">
      <c r="A146" s="60" t="s">
        <v>52</v>
      </c>
      <c r="B146" s="2" t="s">
        <v>703</v>
      </c>
      <c r="C146" s="3" t="s">
        <v>2354</v>
      </c>
      <c r="D146" s="12" t="s">
        <v>701</v>
      </c>
      <c r="E146" s="12" t="s">
        <v>53</v>
      </c>
      <c r="F146" s="12" t="s">
        <v>3966</v>
      </c>
      <c r="G146" s="25">
        <v>10781</v>
      </c>
      <c r="H146" s="25">
        <v>8293</v>
      </c>
      <c r="I146" s="25">
        <v>1691</v>
      </c>
      <c r="J146" s="25">
        <v>116</v>
      </c>
      <c r="K146" s="25">
        <v>9110</v>
      </c>
      <c r="L146" s="25">
        <v>637</v>
      </c>
      <c r="M146" s="25">
        <v>9747</v>
      </c>
      <c r="N146" s="31">
        <v>0.93</v>
      </c>
      <c r="O146" s="25">
        <v>38404</v>
      </c>
      <c r="P146" s="25">
        <v>0</v>
      </c>
      <c r="Q146" s="25">
        <v>448</v>
      </c>
      <c r="R146" s="25">
        <v>8</v>
      </c>
      <c r="S146" s="25">
        <v>197</v>
      </c>
      <c r="T146" s="25">
        <v>5</v>
      </c>
      <c r="U146" s="61">
        <v>23</v>
      </c>
      <c r="V146" s="58">
        <v>2.2000000000000001E-3</v>
      </c>
      <c r="W146" s="33">
        <v>4.4999999999999997E-3</v>
      </c>
      <c r="X146" s="33">
        <v>1.1000000000000001E-3</v>
      </c>
      <c r="Y146" s="12" t="s">
        <v>3926</v>
      </c>
      <c r="Z146" s="33">
        <v>5.0000000000000001E-4</v>
      </c>
      <c r="AA146" s="12" t="s">
        <v>3926</v>
      </c>
      <c r="AB146" s="25">
        <v>26</v>
      </c>
      <c r="AC146" s="25">
        <v>9</v>
      </c>
      <c r="AD146" s="25">
        <v>4</v>
      </c>
      <c r="AE146" s="25">
        <v>0</v>
      </c>
      <c r="AF146" s="25">
        <v>6</v>
      </c>
      <c r="AG146" s="25">
        <v>7</v>
      </c>
      <c r="AH146" s="25">
        <v>0</v>
      </c>
      <c r="AI146" s="12">
        <v>0.06</v>
      </c>
      <c r="AJ146" s="25">
        <v>193090</v>
      </c>
      <c r="AK146" s="25">
        <v>5113</v>
      </c>
      <c r="AL146" s="33">
        <v>2.7199999999999998E-2</v>
      </c>
      <c r="AM146" s="3" t="s">
        <v>2354</v>
      </c>
      <c r="AN146" s="12" t="s">
        <v>53</v>
      </c>
      <c r="AO146" s="12" t="s">
        <v>53</v>
      </c>
      <c r="AP146" s="12" t="str">
        <f>"466511450155186"</f>
        <v>466511450155186</v>
      </c>
      <c r="AQ146" s="12" t="s">
        <v>701</v>
      </c>
      <c r="AR146" s="12"/>
      <c r="AS146" s="12" t="s">
        <v>2355</v>
      </c>
      <c r="AT146" s="12"/>
      <c r="AU146" s="12" t="s">
        <v>309</v>
      </c>
      <c r="AV146" s="12"/>
      <c r="AW146" s="12"/>
      <c r="AX146" s="12">
        <v>0</v>
      </c>
      <c r="AY146" s="12">
        <v>136</v>
      </c>
      <c r="AZ146" s="12">
        <v>0</v>
      </c>
      <c r="BA146" s="12" t="s">
        <v>702</v>
      </c>
      <c r="BB146" s="12"/>
      <c r="BC146" s="12" t="s">
        <v>6336</v>
      </c>
      <c r="BD146" s="12"/>
      <c r="BE146" s="12" t="s">
        <v>2291</v>
      </c>
      <c r="BF146" s="12"/>
      <c r="BG146" s="12"/>
      <c r="BH146" s="12"/>
      <c r="BI146" s="12"/>
      <c r="BJ146" s="12"/>
      <c r="BK146" s="12"/>
      <c r="BL146" s="12" t="s">
        <v>2292</v>
      </c>
      <c r="BM146" s="12" t="s">
        <v>2292</v>
      </c>
      <c r="BN146" s="12" t="s">
        <v>2292</v>
      </c>
      <c r="BO146" s="12" t="s">
        <v>2291</v>
      </c>
      <c r="BP146" s="12"/>
      <c r="BQ146" s="12"/>
      <c r="BR146" s="12"/>
      <c r="BS146" s="12"/>
      <c r="BT146" s="12"/>
      <c r="BU146" s="12"/>
      <c r="BV146" s="12"/>
      <c r="BW146" s="12"/>
      <c r="BX146" s="12"/>
      <c r="BY146" s="13" t="s">
        <v>313</v>
      </c>
      <c r="BZ146" s="13" t="s">
        <v>312</v>
      </c>
      <c r="CA146" s="13"/>
      <c r="CB146" s="13"/>
      <c r="CC146" s="13"/>
      <c r="CD146" s="13"/>
      <c r="CE146" s="13"/>
      <c r="CF146" s="13"/>
    </row>
    <row r="147" spans="1:84" ht="18.600000000000001" customHeight="1" x14ac:dyDescent="0.25">
      <c r="A147" s="60" t="s">
        <v>52</v>
      </c>
      <c r="B147" s="2" t="s">
        <v>314</v>
      </c>
      <c r="C147" s="3" t="s">
        <v>2869</v>
      </c>
      <c r="D147" s="12" t="s">
        <v>705</v>
      </c>
      <c r="E147" s="12" t="s">
        <v>704</v>
      </c>
      <c r="F147" s="12" t="s">
        <v>4285</v>
      </c>
      <c r="G147" s="25">
        <v>752631</v>
      </c>
      <c r="H147" s="25">
        <v>508495</v>
      </c>
      <c r="I147" s="25">
        <v>37566</v>
      </c>
      <c r="J147" s="25">
        <v>146955</v>
      </c>
      <c r="K147" s="25">
        <v>20972794</v>
      </c>
      <c r="L147" s="25">
        <v>3290652</v>
      </c>
      <c r="M147" s="25">
        <v>24263446</v>
      </c>
      <c r="N147" s="31">
        <v>0.86</v>
      </c>
      <c r="O147" s="25">
        <v>0</v>
      </c>
      <c r="P147" s="25">
        <v>288684</v>
      </c>
      <c r="Q147" s="25">
        <v>27431</v>
      </c>
      <c r="R147" s="25">
        <v>1115</v>
      </c>
      <c r="S147" s="25">
        <v>22097</v>
      </c>
      <c r="T147" s="25">
        <v>4749</v>
      </c>
      <c r="U147" s="61">
        <v>4214</v>
      </c>
      <c r="V147" s="58">
        <v>1E-3</v>
      </c>
      <c r="W147" s="33">
        <v>8.9999999999999998E-4</v>
      </c>
      <c r="X147" s="33">
        <v>2.9999999999999997E-4</v>
      </c>
      <c r="Y147" s="33">
        <v>4.0000000000000002E-4</v>
      </c>
      <c r="Z147" s="33">
        <v>1.1999999999999999E-3</v>
      </c>
      <c r="AA147" s="33">
        <v>1E-4</v>
      </c>
      <c r="AB147" s="25">
        <v>854</v>
      </c>
      <c r="AC147" s="25">
        <v>423</v>
      </c>
      <c r="AD147" s="25">
        <v>2</v>
      </c>
      <c r="AE147" s="25">
        <v>1</v>
      </c>
      <c r="AF147" s="25">
        <v>427</v>
      </c>
      <c r="AG147" s="25">
        <v>0</v>
      </c>
      <c r="AH147" s="25">
        <v>1</v>
      </c>
      <c r="AI147" s="12">
        <v>1.95</v>
      </c>
      <c r="AJ147" s="25">
        <v>930702</v>
      </c>
      <c r="AK147" s="25">
        <v>120875</v>
      </c>
      <c r="AL147" s="33">
        <v>0.14929999999999999</v>
      </c>
      <c r="AM147" s="3" t="s">
        <v>2869</v>
      </c>
      <c r="AN147" s="12" t="s">
        <v>704</v>
      </c>
      <c r="AO147" s="12" t="s">
        <v>704</v>
      </c>
      <c r="AP147" s="12" t="str">
        <f>"271178572940207"</f>
        <v>271178572940207</v>
      </c>
      <c r="AQ147" s="12" t="s">
        <v>705</v>
      </c>
      <c r="AR147" s="12" t="s">
        <v>706</v>
      </c>
      <c r="AS147" s="12" t="s">
        <v>707</v>
      </c>
      <c r="AT147" s="12"/>
      <c r="AU147" s="12" t="s">
        <v>324</v>
      </c>
      <c r="AV147" s="12"/>
      <c r="AW147" s="12" t="s">
        <v>2870</v>
      </c>
      <c r="AX147" s="12">
        <v>0</v>
      </c>
      <c r="AY147" s="12">
        <v>6558</v>
      </c>
      <c r="AZ147" s="12">
        <v>0</v>
      </c>
      <c r="BA147" s="12" t="s">
        <v>708</v>
      </c>
      <c r="BB147" s="12" t="s">
        <v>5977</v>
      </c>
      <c r="BC147" s="12" t="s">
        <v>7070</v>
      </c>
      <c r="BD147" s="12"/>
      <c r="BE147" s="12" t="s">
        <v>2291</v>
      </c>
      <c r="BF147" s="12"/>
      <c r="BG147" s="12"/>
      <c r="BH147" s="12"/>
      <c r="BI147" s="12" t="s">
        <v>2871</v>
      </c>
      <c r="BJ147" s="12" t="s">
        <v>707</v>
      </c>
      <c r="BK147" s="12"/>
      <c r="BL147" s="12" t="s">
        <v>2292</v>
      </c>
      <c r="BM147" s="12" t="s">
        <v>2292</v>
      </c>
      <c r="BN147" s="12" t="s">
        <v>2292</v>
      </c>
      <c r="BO147" s="12" t="s">
        <v>2291</v>
      </c>
      <c r="BP147" s="12" t="s">
        <v>709</v>
      </c>
      <c r="BQ147" s="12"/>
      <c r="BR147" s="12"/>
      <c r="BS147" s="12"/>
      <c r="BT147" s="12"/>
      <c r="BU147" s="12"/>
      <c r="BV147" s="12"/>
      <c r="BW147" s="12" t="s">
        <v>710</v>
      </c>
      <c r="BX147" s="12"/>
      <c r="BY147" s="13" t="s">
        <v>313</v>
      </c>
      <c r="BZ147" s="13" t="s">
        <v>6170</v>
      </c>
      <c r="CA147" s="13" t="s">
        <v>6170</v>
      </c>
      <c r="CB147" s="13" t="s">
        <v>312</v>
      </c>
      <c r="CC147" s="13"/>
      <c r="CD147" s="13" t="s">
        <v>7437</v>
      </c>
      <c r="CE147" s="13"/>
      <c r="CF147" s="13"/>
    </row>
    <row r="148" spans="1:84" ht="18.600000000000001" customHeight="1" x14ac:dyDescent="0.25">
      <c r="A148" s="60" t="s">
        <v>52</v>
      </c>
      <c r="B148" s="2" t="s">
        <v>3820</v>
      </c>
      <c r="C148" s="3" t="s">
        <v>3822</v>
      </c>
      <c r="D148" s="12" t="s">
        <v>3824</v>
      </c>
      <c r="E148" s="12" t="s">
        <v>3823</v>
      </c>
      <c r="F148" s="12" t="s">
        <v>4437</v>
      </c>
      <c r="G148" s="25">
        <v>900463</v>
      </c>
      <c r="H148" s="25">
        <v>718222</v>
      </c>
      <c r="I148" s="25">
        <v>65954</v>
      </c>
      <c r="J148" s="25">
        <v>60553</v>
      </c>
      <c r="K148" s="25">
        <v>4064185</v>
      </c>
      <c r="L148" s="25">
        <v>960552</v>
      </c>
      <c r="M148" s="25">
        <v>5024737</v>
      </c>
      <c r="N148" s="31">
        <v>0.81</v>
      </c>
      <c r="O148" s="25">
        <v>186976</v>
      </c>
      <c r="P148" s="25">
        <v>95246</v>
      </c>
      <c r="Q148" s="25">
        <v>32141</v>
      </c>
      <c r="R148" s="25">
        <v>733</v>
      </c>
      <c r="S148" s="25">
        <v>12879</v>
      </c>
      <c r="T148" s="25">
        <v>8224</v>
      </c>
      <c r="U148" s="61">
        <v>1738</v>
      </c>
      <c r="V148" s="58">
        <v>2.5600000000000001E-2</v>
      </c>
      <c r="W148" s="33">
        <v>4.4400000000000002E-2</v>
      </c>
      <c r="X148" s="33">
        <v>7.1999999999999998E-3</v>
      </c>
      <c r="Y148" s="33">
        <v>2.8899999999999999E-2</v>
      </c>
      <c r="Z148" s="33">
        <v>2.4899999999999999E-2</v>
      </c>
      <c r="AA148" s="33">
        <v>1.4E-3</v>
      </c>
      <c r="AB148" s="25">
        <v>184</v>
      </c>
      <c r="AC148" s="25">
        <v>74</v>
      </c>
      <c r="AD148" s="25">
        <v>36</v>
      </c>
      <c r="AE148" s="25">
        <v>7</v>
      </c>
      <c r="AF148" s="25">
        <v>43</v>
      </c>
      <c r="AG148" s="25">
        <v>22</v>
      </c>
      <c r="AH148" s="25">
        <v>2</v>
      </c>
      <c r="AI148" s="12">
        <v>0.42</v>
      </c>
      <c r="AJ148" s="25">
        <v>310173</v>
      </c>
      <c r="AK148" s="25">
        <v>261214</v>
      </c>
      <c r="AL148" s="33">
        <v>5.3353999999999999</v>
      </c>
      <c r="AM148" s="3" t="s">
        <v>3822</v>
      </c>
      <c r="AN148" s="12" t="s">
        <v>3823</v>
      </c>
      <c r="AO148" s="12" t="s">
        <v>3823</v>
      </c>
      <c r="AP148" s="12" t="str">
        <f>"1561942590711488"</f>
        <v>1561942590711488</v>
      </c>
      <c r="AQ148" s="12" t="s">
        <v>3824</v>
      </c>
      <c r="AR148" s="12"/>
      <c r="AS148" s="12" t="s">
        <v>3825</v>
      </c>
      <c r="AT148" s="12"/>
      <c r="AU148" s="12" t="s">
        <v>309</v>
      </c>
      <c r="AV148" s="12"/>
      <c r="AW148" s="12"/>
      <c r="AX148" s="12">
        <v>0</v>
      </c>
      <c r="AY148" s="12">
        <v>32700</v>
      </c>
      <c r="AZ148" s="12">
        <v>0</v>
      </c>
      <c r="BA148" s="12" t="s">
        <v>3821</v>
      </c>
      <c r="BB148" s="12"/>
      <c r="BC148" s="12" t="s">
        <v>7408</v>
      </c>
      <c r="BD148" s="12"/>
      <c r="BE148" s="12" t="s">
        <v>2291</v>
      </c>
      <c r="BF148" s="12"/>
      <c r="BG148" s="12"/>
      <c r="BH148" s="12"/>
      <c r="BI148" s="12" t="s">
        <v>4716</v>
      </c>
      <c r="BJ148" s="12"/>
      <c r="BK148" s="12"/>
      <c r="BL148" s="12" t="s">
        <v>2292</v>
      </c>
      <c r="BM148" s="12" t="s">
        <v>2292</v>
      </c>
      <c r="BN148" s="12" t="s">
        <v>2292</v>
      </c>
      <c r="BO148" s="12" t="s">
        <v>2291</v>
      </c>
      <c r="BP148" s="12"/>
      <c r="BQ148" s="12"/>
      <c r="BR148" s="12"/>
      <c r="BS148" s="12"/>
      <c r="BT148" s="12"/>
      <c r="BU148" s="12"/>
      <c r="BV148" s="12"/>
      <c r="BW148" s="12"/>
      <c r="BX148" s="12"/>
      <c r="BY148" s="13" t="s">
        <v>313</v>
      </c>
      <c r="BZ148" s="13" t="s">
        <v>6170</v>
      </c>
      <c r="CA148" s="13" t="s">
        <v>6170</v>
      </c>
      <c r="CB148" s="13" t="s">
        <v>312</v>
      </c>
      <c r="CC148" s="13"/>
      <c r="CD148" s="13" t="s">
        <v>6198</v>
      </c>
      <c r="CE148" s="13"/>
      <c r="CF148" s="13"/>
    </row>
    <row r="149" spans="1:84" ht="18.600000000000001" customHeight="1" x14ac:dyDescent="0.25">
      <c r="A149" s="60" t="s">
        <v>52</v>
      </c>
      <c r="B149" s="2" t="s">
        <v>3820</v>
      </c>
      <c r="C149" s="3" t="s">
        <v>4741</v>
      </c>
      <c r="D149" s="12" t="s">
        <v>4739</v>
      </c>
      <c r="E149" s="12" t="s">
        <v>4749</v>
      </c>
      <c r="F149" s="12" t="s">
        <v>4273</v>
      </c>
      <c r="G149" s="25">
        <v>438169</v>
      </c>
      <c r="H149" s="25">
        <v>281506</v>
      </c>
      <c r="I149" s="25">
        <v>46831</v>
      </c>
      <c r="J149" s="25">
        <v>85908</v>
      </c>
      <c r="K149" s="25">
        <v>3647737</v>
      </c>
      <c r="L149" s="25">
        <v>2320251</v>
      </c>
      <c r="M149" s="25">
        <v>5967988</v>
      </c>
      <c r="N149" s="31">
        <v>0.61</v>
      </c>
      <c r="O149" s="25">
        <v>122466</v>
      </c>
      <c r="P149" s="25">
        <v>22313</v>
      </c>
      <c r="Q149" s="25">
        <v>16621</v>
      </c>
      <c r="R149" s="25">
        <v>478</v>
      </c>
      <c r="S149" s="25">
        <v>4399</v>
      </c>
      <c r="T149" s="25">
        <v>1202</v>
      </c>
      <c r="U149" s="61">
        <v>1223</v>
      </c>
      <c r="V149" s="58">
        <v>5.9999999999999995E-4</v>
      </c>
      <c r="W149" s="33">
        <v>5.0000000000000001E-4</v>
      </c>
      <c r="X149" s="33">
        <v>5.0000000000000001E-4</v>
      </c>
      <c r="Y149" s="33">
        <v>2.9999999999999997E-4</v>
      </c>
      <c r="Z149" s="33">
        <v>1E-3</v>
      </c>
      <c r="AA149" s="33">
        <v>2.0000000000000001E-4</v>
      </c>
      <c r="AB149" s="25">
        <v>1372</v>
      </c>
      <c r="AC149" s="25">
        <v>949</v>
      </c>
      <c r="AD149" s="25">
        <v>5</v>
      </c>
      <c r="AE149" s="25">
        <v>30</v>
      </c>
      <c r="AF149" s="25">
        <v>319</v>
      </c>
      <c r="AG149" s="25">
        <v>35</v>
      </c>
      <c r="AH149" s="25">
        <v>34</v>
      </c>
      <c r="AI149" s="12">
        <v>3.13</v>
      </c>
      <c r="AJ149" s="25">
        <v>537938</v>
      </c>
      <c r="AK149" s="25">
        <v>57533</v>
      </c>
      <c r="AL149" s="33">
        <v>0.1198</v>
      </c>
      <c r="AM149" s="3" t="s">
        <v>4741</v>
      </c>
      <c r="AN149" s="12" t="s">
        <v>4749</v>
      </c>
      <c r="AO149" s="12" t="s">
        <v>4749</v>
      </c>
      <c r="AP149" s="12" t="str">
        <f>"213636118651883"</f>
        <v>213636118651883</v>
      </c>
      <c r="AQ149" s="12" t="s">
        <v>4739</v>
      </c>
      <c r="AR149" s="12" t="s">
        <v>5979</v>
      </c>
      <c r="AS149" s="12" t="s">
        <v>5980</v>
      </c>
      <c r="AT149" s="12"/>
      <c r="AU149" s="12" t="s">
        <v>324</v>
      </c>
      <c r="AV149" s="12" t="s">
        <v>5731</v>
      </c>
      <c r="AW149" s="12">
        <v>1860</v>
      </c>
      <c r="AX149" s="12">
        <v>6548</v>
      </c>
      <c r="AY149" s="12">
        <v>5129</v>
      </c>
      <c r="AZ149" s="12">
        <v>6548</v>
      </c>
      <c r="BA149" s="12" t="s">
        <v>4765</v>
      </c>
      <c r="BB149" s="12" t="s">
        <v>7076</v>
      </c>
      <c r="BC149" s="12" t="s">
        <v>7077</v>
      </c>
      <c r="BD149" s="12"/>
      <c r="BE149" s="12" t="s">
        <v>2291</v>
      </c>
      <c r="BF149" s="12"/>
      <c r="BG149" s="12"/>
      <c r="BH149" s="12"/>
      <c r="BI149" s="12" t="s">
        <v>4766</v>
      </c>
      <c r="BJ149" s="12" t="s">
        <v>4767</v>
      </c>
      <c r="BK149" s="12"/>
      <c r="BL149" s="12" t="s">
        <v>2292</v>
      </c>
      <c r="BM149" s="12" t="s">
        <v>2292</v>
      </c>
      <c r="BN149" s="12" t="s">
        <v>2292</v>
      </c>
      <c r="BO149" s="12" t="s">
        <v>2291</v>
      </c>
      <c r="BP149" s="12" t="s">
        <v>4768</v>
      </c>
      <c r="BQ149" s="12"/>
      <c r="BR149" s="12"/>
      <c r="BS149" s="12"/>
      <c r="BT149" s="12" t="s">
        <v>4769</v>
      </c>
      <c r="BU149" s="12" t="s">
        <v>326</v>
      </c>
      <c r="BV149" s="12"/>
      <c r="BW149" s="12" t="s">
        <v>4770</v>
      </c>
      <c r="BX149" s="12"/>
      <c r="BY149" s="13" t="s">
        <v>313</v>
      </c>
      <c r="BZ149" s="13" t="s">
        <v>312</v>
      </c>
      <c r="CA149" s="13"/>
      <c r="CB149" s="13"/>
      <c r="CC149" s="13"/>
      <c r="CD149" s="13"/>
      <c r="CE149" s="13"/>
      <c r="CF149" s="13"/>
    </row>
    <row r="150" spans="1:84" ht="18.600000000000001" customHeight="1" x14ac:dyDescent="0.25">
      <c r="A150" s="35" t="s">
        <v>52</v>
      </c>
      <c r="B150" s="13" t="s">
        <v>3720</v>
      </c>
      <c r="C150" s="10" t="s">
        <v>3721</v>
      </c>
      <c r="D150" s="12" t="s">
        <v>4738</v>
      </c>
      <c r="E150" s="12" t="s">
        <v>3769</v>
      </c>
      <c r="F150" s="12" t="s">
        <v>4136</v>
      </c>
      <c r="G150" s="25">
        <v>8987</v>
      </c>
      <c r="H150" s="25">
        <v>7309</v>
      </c>
      <c r="I150" s="25">
        <v>255</v>
      </c>
      <c r="J150" s="25">
        <v>979</v>
      </c>
      <c r="K150" s="25">
        <v>16799</v>
      </c>
      <c r="L150" s="25">
        <v>77709</v>
      </c>
      <c r="M150" s="25">
        <v>94508</v>
      </c>
      <c r="N150" s="31">
        <v>0.18</v>
      </c>
      <c r="O150" s="25">
        <v>36100</v>
      </c>
      <c r="P150" s="25">
        <v>117</v>
      </c>
      <c r="Q150" s="25">
        <v>327</v>
      </c>
      <c r="R150" s="25">
        <v>2</v>
      </c>
      <c r="S150" s="25">
        <v>97</v>
      </c>
      <c r="T150" s="25">
        <v>2</v>
      </c>
      <c r="U150" s="61">
        <v>16</v>
      </c>
      <c r="V150" s="58">
        <v>2.3E-3</v>
      </c>
      <c r="W150" s="33">
        <v>3.0999999999999999E-3</v>
      </c>
      <c r="X150" s="33">
        <v>1.5E-3</v>
      </c>
      <c r="Y150" s="12" t="s">
        <v>3926</v>
      </c>
      <c r="Z150" s="33">
        <v>6.8999999999999999E-3</v>
      </c>
      <c r="AA150" s="33">
        <v>3.0999999999999999E-3</v>
      </c>
      <c r="AB150" s="25">
        <v>533</v>
      </c>
      <c r="AC150" s="25">
        <v>69</v>
      </c>
      <c r="AD150" s="25">
        <v>299</v>
      </c>
      <c r="AE150" s="25">
        <v>0</v>
      </c>
      <c r="AF150" s="25">
        <v>35</v>
      </c>
      <c r="AG150" s="25">
        <v>115</v>
      </c>
      <c r="AH150" s="25">
        <v>15</v>
      </c>
      <c r="AI150" s="12">
        <v>1.21</v>
      </c>
      <c r="AJ150" s="25">
        <v>7540</v>
      </c>
      <c r="AK150" s="25">
        <v>1374</v>
      </c>
      <c r="AL150" s="33">
        <v>0.2228</v>
      </c>
      <c r="AM150" s="10" t="s">
        <v>3721</v>
      </c>
      <c r="AN150" s="12" t="s">
        <v>3769</v>
      </c>
      <c r="AO150" s="12" t="s">
        <v>3769</v>
      </c>
      <c r="AP150" s="12" t="str">
        <f>"783570835075962"</f>
        <v>783570835075962</v>
      </c>
      <c r="AQ150" s="12" t="s">
        <v>4738</v>
      </c>
      <c r="AR150" s="12"/>
      <c r="AS150" s="12" t="s">
        <v>4756</v>
      </c>
      <c r="AT150" s="12"/>
      <c r="AU150" s="12" t="s">
        <v>309</v>
      </c>
      <c r="AV150" s="12"/>
      <c r="AW150" s="12"/>
      <c r="AX150" s="12">
        <v>0</v>
      </c>
      <c r="AY150" s="12">
        <v>120</v>
      </c>
      <c r="AZ150" s="12">
        <v>0</v>
      </c>
      <c r="BA150" s="12" t="s">
        <v>4757</v>
      </c>
      <c r="BB150" s="12"/>
      <c r="BC150" s="12" t="s">
        <v>6742</v>
      </c>
      <c r="BD150" s="12"/>
      <c r="BE150" s="12" t="s">
        <v>2291</v>
      </c>
      <c r="BF150" s="12"/>
      <c r="BG150" s="12"/>
      <c r="BH150" s="12"/>
      <c r="BI150" s="12"/>
      <c r="BJ150" s="12"/>
      <c r="BK150" s="12"/>
      <c r="BL150" s="12" t="s">
        <v>2292</v>
      </c>
      <c r="BM150" s="12" t="s">
        <v>2292</v>
      </c>
      <c r="BN150" s="12" t="s">
        <v>2292</v>
      </c>
      <c r="BO150" s="12" t="s">
        <v>2292</v>
      </c>
      <c r="BP150" s="12"/>
      <c r="BQ150" s="12"/>
      <c r="BR150" s="12"/>
      <c r="BS150" s="12"/>
      <c r="BT150" s="12"/>
      <c r="BU150" s="12"/>
      <c r="BV150" s="12"/>
      <c r="BW150" s="12"/>
      <c r="BX150" s="12"/>
      <c r="BY150" s="13" t="s">
        <v>313</v>
      </c>
      <c r="BZ150" s="13" t="s">
        <v>312</v>
      </c>
      <c r="CA150" s="13"/>
      <c r="CB150" s="13"/>
      <c r="CC150" s="13"/>
      <c r="CD150" s="13"/>
      <c r="CE150" s="13"/>
      <c r="CF150" s="13"/>
    </row>
    <row r="151" spans="1:84" ht="18.600000000000001" customHeight="1" x14ac:dyDescent="0.25">
      <c r="A151" s="60" t="s">
        <v>52</v>
      </c>
      <c r="B151" s="2" t="s">
        <v>335</v>
      </c>
      <c r="C151" s="3" t="s">
        <v>3388</v>
      </c>
      <c r="D151" s="12" t="s">
        <v>3237</v>
      </c>
      <c r="E151" s="12" t="s">
        <v>54</v>
      </c>
      <c r="F151" s="12" t="s">
        <v>4391</v>
      </c>
      <c r="G151" s="25">
        <v>37949</v>
      </c>
      <c r="H151" s="25">
        <v>24085</v>
      </c>
      <c r="I151" s="25">
        <v>2218</v>
      </c>
      <c r="J151" s="25">
        <v>9816</v>
      </c>
      <c r="K151" s="25">
        <v>364166</v>
      </c>
      <c r="L151" s="25">
        <v>172943</v>
      </c>
      <c r="M151" s="25">
        <v>537109</v>
      </c>
      <c r="N151" s="31">
        <v>0.68</v>
      </c>
      <c r="O151" s="25">
        <v>149814</v>
      </c>
      <c r="P151" s="25">
        <v>4103</v>
      </c>
      <c r="Q151" s="25">
        <v>1363</v>
      </c>
      <c r="R151" s="25">
        <v>37</v>
      </c>
      <c r="S151" s="25">
        <v>232</v>
      </c>
      <c r="T151" s="25">
        <v>72</v>
      </c>
      <c r="U151" s="61">
        <v>126</v>
      </c>
      <c r="V151" s="58">
        <v>1E-4</v>
      </c>
      <c r="W151" s="33">
        <v>1E-4</v>
      </c>
      <c r="X151" s="33">
        <v>1E-4</v>
      </c>
      <c r="Y151" s="33">
        <v>1E-4</v>
      </c>
      <c r="Z151" s="33">
        <v>2.9999999999999997E-4</v>
      </c>
      <c r="AA151" s="33">
        <v>1E-4</v>
      </c>
      <c r="AB151" s="25">
        <v>980</v>
      </c>
      <c r="AC151" s="25">
        <v>641</v>
      </c>
      <c r="AD151" s="25">
        <v>108</v>
      </c>
      <c r="AE151" s="25">
        <v>9</v>
      </c>
      <c r="AF151" s="25">
        <v>126</v>
      </c>
      <c r="AG151" s="25">
        <v>79</v>
      </c>
      <c r="AH151" s="25">
        <v>17</v>
      </c>
      <c r="AI151" s="12">
        <v>2.23</v>
      </c>
      <c r="AJ151" s="25">
        <v>288606</v>
      </c>
      <c r="AK151" s="25">
        <v>28797</v>
      </c>
      <c r="AL151" s="33">
        <v>0.1108</v>
      </c>
      <c r="AM151" s="3" t="s">
        <v>3388</v>
      </c>
      <c r="AN151" s="12" t="s">
        <v>54</v>
      </c>
      <c r="AO151" s="12" t="s">
        <v>54</v>
      </c>
      <c r="AP151" s="12" t="str">
        <f>"171454396234624"</f>
        <v>171454396234624</v>
      </c>
      <c r="AQ151" s="12" t="s">
        <v>3237</v>
      </c>
      <c r="AR151" s="12" t="s">
        <v>3693</v>
      </c>
      <c r="AS151" s="12" t="s">
        <v>5479</v>
      </c>
      <c r="AT151" s="12"/>
      <c r="AU151" s="12" t="s">
        <v>324</v>
      </c>
      <c r="AV151" s="12"/>
      <c r="AW151" s="12"/>
      <c r="AX151" s="12">
        <v>0</v>
      </c>
      <c r="AY151" s="12">
        <v>656</v>
      </c>
      <c r="AZ151" s="12">
        <v>0</v>
      </c>
      <c r="BA151" s="12" t="s">
        <v>3479</v>
      </c>
      <c r="BB151" s="12" t="s">
        <v>7312</v>
      </c>
      <c r="BC151" s="12" t="s">
        <v>7313</v>
      </c>
      <c r="BD151" s="12" t="s">
        <v>5480</v>
      </c>
      <c r="BE151" s="12" t="s">
        <v>2291</v>
      </c>
      <c r="BF151" s="12"/>
      <c r="BG151" s="12"/>
      <c r="BH151" s="12"/>
      <c r="BI151" s="12" t="s">
        <v>6047</v>
      </c>
      <c r="BJ151" s="12"/>
      <c r="BK151" s="12"/>
      <c r="BL151" s="12" t="s">
        <v>2292</v>
      </c>
      <c r="BM151" s="12" t="s">
        <v>2292</v>
      </c>
      <c r="BN151" s="12" t="s">
        <v>2292</v>
      </c>
      <c r="BO151" s="12" t="s">
        <v>2291</v>
      </c>
      <c r="BP151" s="12"/>
      <c r="BQ151" s="12"/>
      <c r="BR151" s="12" t="s">
        <v>2730</v>
      </c>
      <c r="BS151" s="12"/>
      <c r="BT151" s="12"/>
      <c r="BU151" s="12"/>
      <c r="BV151" s="12"/>
      <c r="BW151" s="12" t="s">
        <v>711</v>
      </c>
      <c r="BX151" s="12"/>
      <c r="BY151" s="13" t="s">
        <v>313</v>
      </c>
      <c r="BZ151" s="13" t="s">
        <v>312</v>
      </c>
      <c r="CA151" s="13"/>
      <c r="CB151" s="13"/>
      <c r="CC151" s="13"/>
      <c r="CD151" s="13"/>
      <c r="CE151" s="13"/>
      <c r="CF151" s="13"/>
    </row>
    <row r="152" spans="1:84" ht="18.600000000000001" customHeight="1" x14ac:dyDescent="0.25">
      <c r="A152" s="60" t="s">
        <v>55</v>
      </c>
      <c r="B152" s="2" t="s">
        <v>718</v>
      </c>
      <c r="C152" s="3" t="s">
        <v>2914</v>
      </c>
      <c r="D152" s="12" t="s">
        <v>713</v>
      </c>
      <c r="E152" s="12" t="s">
        <v>712</v>
      </c>
      <c r="F152" s="12" t="s">
        <v>4316</v>
      </c>
      <c r="G152" s="25">
        <v>819462</v>
      </c>
      <c r="H152" s="25">
        <v>611764</v>
      </c>
      <c r="I152" s="25">
        <v>99032</v>
      </c>
      <c r="J152" s="25">
        <v>83613</v>
      </c>
      <c r="K152" s="25">
        <v>223014</v>
      </c>
      <c r="L152" s="25">
        <v>92424</v>
      </c>
      <c r="M152" s="25">
        <v>315438</v>
      </c>
      <c r="N152" s="31">
        <v>0.71</v>
      </c>
      <c r="O152" s="25">
        <v>0</v>
      </c>
      <c r="P152" s="25">
        <v>17491</v>
      </c>
      <c r="Q152" s="25">
        <v>12975</v>
      </c>
      <c r="R152" s="25">
        <v>1692</v>
      </c>
      <c r="S152" s="25">
        <v>3593</v>
      </c>
      <c r="T152" s="25">
        <v>3661</v>
      </c>
      <c r="U152" s="61">
        <v>3128</v>
      </c>
      <c r="V152" s="58">
        <v>7.1000000000000004E-3</v>
      </c>
      <c r="W152" s="33">
        <v>7.0000000000000001E-3</v>
      </c>
      <c r="X152" s="33">
        <v>3.0999999999999999E-3</v>
      </c>
      <c r="Y152" s="33">
        <v>1.35E-2</v>
      </c>
      <c r="Z152" s="33">
        <v>3.3999999999999998E-3</v>
      </c>
      <c r="AA152" s="33">
        <v>2.5999999999999999E-3</v>
      </c>
      <c r="AB152" s="25">
        <v>388</v>
      </c>
      <c r="AC152" s="25">
        <v>326</v>
      </c>
      <c r="AD152" s="25">
        <v>15</v>
      </c>
      <c r="AE152" s="25">
        <v>16</v>
      </c>
      <c r="AF152" s="25">
        <v>28</v>
      </c>
      <c r="AG152" s="25">
        <v>0</v>
      </c>
      <c r="AH152" s="25">
        <v>3</v>
      </c>
      <c r="AI152" s="12">
        <v>0.88</v>
      </c>
      <c r="AJ152" s="25">
        <v>363536</v>
      </c>
      <c r="AK152" s="25">
        <v>108260</v>
      </c>
      <c r="AL152" s="33">
        <v>0.42409999999999998</v>
      </c>
      <c r="AM152" s="3" t="s">
        <v>2914</v>
      </c>
      <c r="AN152" s="12" t="s">
        <v>712</v>
      </c>
      <c r="AO152" s="12" t="s">
        <v>712</v>
      </c>
      <c r="AP152" s="12" t="str">
        <f>"400772320058198"</f>
        <v>400772320058198</v>
      </c>
      <c r="AQ152" s="12" t="s">
        <v>713</v>
      </c>
      <c r="AR152" s="12" t="s">
        <v>714</v>
      </c>
      <c r="AS152" s="12" t="s">
        <v>715</v>
      </c>
      <c r="AT152" s="12" t="s">
        <v>2915</v>
      </c>
      <c r="AU152" s="12" t="s">
        <v>424</v>
      </c>
      <c r="AV152" s="12"/>
      <c r="AW152" s="12"/>
      <c r="AX152" s="12">
        <v>0</v>
      </c>
      <c r="AY152" s="12">
        <v>13231</v>
      </c>
      <c r="AZ152" s="12">
        <v>0</v>
      </c>
      <c r="BA152" s="12" t="s">
        <v>716</v>
      </c>
      <c r="BB152" s="12" t="s">
        <v>7140</v>
      </c>
      <c r="BC152" s="12" t="s">
        <v>7141</v>
      </c>
      <c r="BD152" s="12" t="s">
        <v>717</v>
      </c>
      <c r="BE152" s="12" t="s">
        <v>2291</v>
      </c>
      <c r="BF152" s="12"/>
      <c r="BG152" s="12"/>
      <c r="BH152" s="12"/>
      <c r="BI152" s="12"/>
      <c r="BJ152" s="12"/>
      <c r="BK152" s="12"/>
      <c r="BL152" s="12" t="s">
        <v>2292</v>
      </c>
      <c r="BM152" s="12" t="s">
        <v>2292</v>
      </c>
      <c r="BN152" s="12" t="s">
        <v>2292</v>
      </c>
      <c r="BO152" s="12" t="s">
        <v>2291</v>
      </c>
      <c r="BP152" s="12"/>
      <c r="BQ152" s="12"/>
      <c r="BR152" s="12"/>
      <c r="BS152" s="12" t="s">
        <v>2916</v>
      </c>
      <c r="BT152" s="12"/>
      <c r="BU152" s="12"/>
      <c r="BV152" s="12"/>
      <c r="BW152" s="12" t="s">
        <v>2917</v>
      </c>
      <c r="BX152" s="12"/>
      <c r="BY152" s="13" t="s">
        <v>313</v>
      </c>
      <c r="BZ152" s="13" t="s">
        <v>6170</v>
      </c>
      <c r="CA152" s="13" t="s">
        <v>6170</v>
      </c>
      <c r="CB152" s="13" t="s">
        <v>312</v>
      </c>
      <c r="CC152" s="13"/>
      <c r="CD152" s="13" t="s">
        <v>6198</v>
      </c>
      <c r="CE152" s="13"/>
      <c r="CF152" s="13"/>
    </row>
    <row r="153" spans="1:84" ht="18.600000000000001" customHeight="1" x14ac:dyDescent="0.25">
      <c r="A153" s="60" t="s">
        <v>55</v>
      </c>
      <c r="B153" s="2" t="s">
        <v>314</v>
      </c>
      <c r="C153" s="3" t="s">
        <v>3002</v>
      </c>
      <c r="D153" s="12" t="s">
        <v>719</v>
      </c>
      <c r="E153" s="12" t="s">
        <v>720</v>
      </c>
      <c r="F153" s="12" t="s">
        <v>4371</v>
      </c>
      <c r="G153" s="25">
        <v>311039</v>
      </c>
      <c r="H153" s="25">
        <v>249055</v>
      </c>
      <c r="I153" s="25">
        <v>22479</v>
      </c>
      <c r="J153" s="25">
        <v>33444</v>
      </c>
      <c r="K153" s="25">
        <v>182580</v>
      </c>
      <c r="L153" s="25">
        <v>75010</v>
      </c>
      <c r="M153" s="25">
        <v>257590</v>
      </c>
      <c r="N153" s="31">
        <v>0.71</v>
      </c>
      <c r="O153" s="25">
        <v>5907</v>
      </c>
      <c r="P153" s="25">
        <v>0</v>
      </c>
      <c r="Q153" s="25">
        <v>3491</v>
      </c>
      <c r="R153" s="25">
        <v>531</v>
      </c>
      <c r="S153" s="25">
        <v>871</v>
      </c>
      <c r="T153" s="25">
        <v>615</v>
      </c>
      <c r="U153" s="61">
        <v>553</v>
      </c>
      <c r="V153" s="58">
        <v>3.8999999999999998E-3</v>
      </c>
      <c r="W153" s="33">
        <v>4.1000000000000003E-3</v>
      </c>
      <c r="X153" s="33">
        <v>2.8999999999999998E-3</v>
      </c>
      <c r="Y153" s="33">
        <v>2.0999999999999999E-3</v>
      </c>
      <c r="Z153" s="33">
        <v>3.2000000000000002E-3</v>
      </c>
      <c r="AA153" s="33">
        <v>1E-3</v>
      </c>
      <c r="AB153" s="25">
        <v>500</v>
      </c>
      <c r="AC153" s="25">
        <v>438</v>
      </c>
      <c r="AD153" s="25">
        <v>22</v>
      </c>
      <c r="AE153" s="25">
        <v>8</v>
      </c>
      <c r="AF153" s="25">
        <v>28</v>
      </c>
      <c r="AG153" s="25">
        <v>3</v>
      </c>
      <c r="AH153" s="25">
        <v>1</v>
      </c>
      <c r="AI153" s="12">
        <v>1.1399999999999999</v>
      </c>
      <c r="AJ153" s="25">
        <v>191902</v>
      </c>
      <c r="AK153" s="25">
        <v>71519</v>
      </c>
      <c r="AL153" s="33">
        <v>0.59409999999999996</v>
      </c>
      <c r="AM153" s="3" t="s">
        <v>3002</v>
      </c>
      <c r="AN153" s="12" t="s">
        <v>720</v>
      </c>
      <c r="AO153" s="12" t="s">
        <v>720</v>
      </c>
      <c r="AP153" s="12" t="str">
        <f>"158559710878311"</f>
        <v>158559710878311</v>
      </c>
      <c r="AQ153" s="12" t="s">
        <v>719</v>
      </c>
      <c r="AR153" s="12" t="s">
        <v>721</v>
      </c>
      <c r="AS153" s="12" t="s">
        <v>3003</v>
      </c>
      <c r="AT153" s="12"/>
      <c r="AU153" s="12" t="s">
        <v>324</v>
      </c>
      <c r="AV153" s="12" t="s">
        <v>6031</v>
      </c>
      <c r="AW153" s="12">
        <v>1890</v>
      </c>
      <c r="AX153" s="12">
        <v>225991</v>
      </c>
      <c r="AY153" s="12">
        <v>4775</v>
      </c>
      <c r="AZ153" s="12">
        <v>225991</v>
      </c>
      <c r="BA153" s="12" t="s">
        <v>722</v>
      </c>
      <c r="BB153" s="12" t="s">
        <v>7267</v>
      </c>
      <c r="BC153" s="12" t="s">
        <v>7268</v>
      </c>
      <c r="BD153" s="12"/>
      <c r="BE153" s="12" t="s">
        <v>2291</v>
      </c>
      <c r="BF153" s="12"/>
      <c r="BG153" s="12"/>
      <c r="BH153" s="12"/>
      <c r="BI153" s="12" t="s">
        <v>3004</v>
      </c>
      <c r="BJ153" s="12"/>
      <c r="BK153" s="12"/>
      <c r="BL153" s="12" t="s">
        <v>2292</v>
      </c>
      <c r="BM153" s="12" t="s">
        <v>2292</v>
      </c>
      <c r="BN153" s="12" t="s">
        <v>2292</v>
      </c>
      <c r="BO153" s="12" t="s">
        <v>2291</v>
      </c>
      <c r="BP153" s="12"/>
      <c r="BQ153" s="12"/>
      <c r="BR153" s="12"/>
      <c r="BS153" s="12"/>
      <c r="BT153" s="12"/>
      <c r="BU153" s="12" t="s">
        <v>326</v>
      </c>
      <c r="BV153" s="12"/>
      <c r="BW153" s="12" t="s">
        <v>723</v>
      </c>
      <c r="BX153" s="12"/>
      <c r="BY153" s="13" t="s">
        <v>313</v>
      </c>
      <c r="BZ153" s="13" t="s">
        <v>6174</v>
      </c>
      <c r="CA153" s="13" t="s">
        <v>6170</v>
      </c>
      <c r="CB153" s="13" t="s">
        <v>312</v>
      </c>
      <c r="CC153" s="13"/>
      <c r="CD153" s="13" t="s">
        <v>6198</v>
      </c>
      <c r="CE153" s="13"/>
      <c r="CF153" s="13" t="s">
        <v>6178</v>
      </c>
    </row>
    <row r="154" spans="1:84" ht="18.600000000000001" customHeight="1" x14ac:dyDescent="0.25">
      <c r="A154" s="60" t="s">
        <v>55</v>
      </c>
      <c r="B154" s="2" t="s">
        <v>727</v>
      </c>
      <c r="C154" s="3" t="s">
        <v>2958</v>
      </c>
      <c r="D154" s="12" t="s">
        <v>724</v>
      </c>
      <c r="E154" s="12"/>
      <c r="F154" s="12" t="s">
        <v>4449</v>
      </c>
      <c r="G154" s="25">
        <v>186</v>
      </c>
      <c r="H154" s="25">
        <v>149</v>
      </c>
      <c r="I154" s="25">
        <v>22</v>
      </c>
      <c r="J154" s="25">
        <v>11</v>
      </c>
      <c r="K154" s="25">
        <v>0</v>
      </c>
      <c r="L154" s="25">
        <v>0</v>
      </c>
      <c r="M154" s="25">
        <v>0</v>
      </c>
      <c r="N154" s="31">
        <v>0</v>
      </c>
      <c r="O154" s="25">
        <v>0</v>
      </c>
      <c r="P154" s="25">
        <v>0</v>
      </c>
      <c r="Q154" s="25">
        <v>2</v>
      </c>
      <c r="R154" s="25">
        <v>0</v>
      </c>
      <c r="S154" s="25">
        <v>0</v>
      </c>
      <c r="T154" s="25">
        <v>2</v>
      </c>
      <c r="U154" s="61">
        <v>0</v>
      </c>
      <c r="V154" s="58">
        <v>4.4999999999999997E-3</v>
      </c>
      <c r="W154" s="33">
        <v>4.4999999999999997E-3</v>
      </c>
      <c r="X154" s="12" t="s">
        <v>3926</v>
      </c>
      <c r="Y154" s="12" t="s">
        <v>3926</v>
      </c>
      <c r="Z154" s="12" t="s">
        <v>3926</v>
      </c>
      <c r="AA154" s="12" t="s">
        <v>3926</v>
      </c>
      <c r="AB154" s="25">
        <v>2</v>
      </c>
      <c r="AC154" s="25">
        <v>2</v>
      </c>
      <c r="AD154" s="25">
        <v>0</v>
      </c>
      <c r="AE154" s="25">
        <v>0</v>
      </c>
      <c r="AF154" s="25">
        <v>0</v>
      </c>
      <c r="AG154" s="25">
        <v>0</v>
      </c>
      <c r="AH154" s="25">
        <v>0</v>
      </c>
      <c r="AI154" s="12">
        <v>0</v>
      </c>
      <c r="AJ154" s="25">
        <v>21108</v>
      </c>
      <c r="AK154" s="25">
        <v>652</v>
      </c>
      <c r="AL154" s="33">
        <v>3.1899999999999998E-2</v>
      </c>
      <c r="AM154" s="3" t="s">
        <v>2958</v>
      </c>
      <c r="AN154" s="12" t="s">
        <v>5446</v>
      </c>
      <c r="AO154" s="12"/>
      <c r="AP154" s="12" t="str">
        <f>"1577972009097699"</f>
        <v>1577972009097699</v>
      </c>
      <c r="AQ154" s="12" t="s">
        <v>724</v>
      </c>
      <c r="AR154" s="12" t="s">
        <v>725</v>
      </c>
      <c r="AS154" s="12" t="s">
        <v>2959</v>
      </c>
      <c r="AT154" s="12"/>
      <c r="AU154" s="12" t="s">
        <v>424</v>
      </c>
      <c r="AV154" s="12"/>
      <c r="AW154" s="12"/>
      <c r="AX154" s="12">
        <v>0</v>
      </c>
      <c r="AY154" s="12">
        <v>10</v>
      </c>
      <c r="AZ154" s="12">
        <v>0</v>
      </c>
      <c r="BA154" s="12" t="s">
        <v>726</v>
      </c>
      <c r="BB154" s="12"/>
      <c r="BC154" s="12"/>
      <c r="BD154" s="12"/>
      <c r="BE154" s="12" t="s">
        <v>2291</v>
      </c>
      <c r="BF154" s="12"/>
      <c r="BG154" s="12"/>
      <c r="BH154" s="12"/>
      <c r="BI154" s="12"/>
      <c r="BJ154" s="12"/>
      <c r="BK154" s="12"/>
      <c r="BL154" s="12" t="s">
        <v>2292</v>
      </c>
      <c r="BM154" s="12" t="s">
        <v>2292</v>
      </c>
      <c r="BN154" s="12" t="s">
        <v>2292</v>
      </c>
      <c r="BO154" s="12" t="s">
        <v>2292</v>
      </c>
      <c r="BP154" s="12"/>
      <c r="BQ154" s="12"/>
      <c r="BR154" s="12"/>
      <c r="BS154" s="12"/>
      <c r="BT154" s="12"/>
      <c r="BU154" s="12"/>
      <c r="BV154" s="12"/>
      <c r="BW154" s="12"/>
      <c r="BX154" s="12"/>
      <c r="BY154" s="13" t="s">
        <v>313</v>
      </c>
      <c r="BZ154" s="13" t="s">
        <v>312</v>
      </c>
      <c r="CA154" s="13"/>
      <c r="CB154" s="13"/>
      <c r="CC154" s="13"/>
      <c r="CD154" s="13"/>
      <c r="CE154" s="13" t="s">
        <v>6184</v>
      </c>
      <c r="CF154" s="13"/>
    </row>
    <row r="155" spans="1:84" ht="18.600000000000001" customHeight="1" x14ac:dyDescent="0.25">
      <c r="A155" s="60" t="s">
        <v>55</v>
      </c>
      <c r="B155" s="2" t="s">
        <v>727</v>
      </c>
      <c r="C155" s="3" t="s">
        <v>2829</v>
      </c>
      <c r="D155" s="12" t="s">
        <v>729</v>
      </c>
      <c r="E155" s="12" t="s">
        <v>728</v>
      </c>
      <c r="F155" s="12" t="s">
        <v>4247</v>
      </c>
      <c r="G155" s="25">
        <v>1827</v>
      </c>
      <c r="H155" s="25">
        <v>1494</v>
      </c>
      <c r="I155" s="25">
        <v>140</v>
      </c>
      <c r="J155" s="25">
        <v>165</v>
      </c>
      <c r="K155" s="25">
        <v>0</v>
      </c>
      <c r="L155" s="25">
        <v>0</v>
      </c>
      <c r="M155" s="25">
        <v>0</v>
      </c>
      <c r="N155" s="31">
        <v>0</v>
      </c>
      <c r="O155" s="25">
        <v>0</v>
      </c>
      <c r="P155" s="25">
        <v>0</v>
      </c>
      <c r="Q155" s="25">
        <v>19</v>
      </c>
      <c r="R155" s="25">
        <v>5</v>
      </c>
      <c r="S155" s="25">
        <v>2</v>
      </c>
      <c r="T155" s="25">
        <v>1</v>
      </c>
      <c r="U155" s="61">
        <v>1</v>
      </c>
      <c r="V155" s="58">
        <v>1.6000000000000001E-3</v>
      </c>
      <c r="W155" s="33">
        <v>1.6000000000000001E-3</v>
      </c>
      <c r="X155" s="12" t="s">
        <v>3926</v>
      </c>
      <c r="Y155" s="33">
        <v>2E-3</v>
      </c>
      <c r="Z155" s="12" t="s">
        <v>3926</v>
      </c>
      <c r="AA155" s="12" t="s">
        <v>3926</v>
      </c>
      <c r="AB155" s="25">
        <v>103</v>
      </c>
      <c r="AC155" s="25">
        <v>100</v>
      </c>
      <c r="AD155" s="25">
        <v>0</v>
      </c>
      <c r="AE155" s="25">
        <v>3</v>
      </c>
      <c r="AF155" s="25">
        <v>0</v>
      </c>
      <c r="AG155" s="25">
        <v>0</v>
      </c>
      <c r="AH155" s="25">
        <v>0</v>
      </c>
      <c r="AI155" s="12">
        <v>0.23</v>
      </c>
      <c r="AJ155" s="25">
        <v>12505</v>
      </c>
      <c r="AK155" s="25">
        <v>3564</v>
      </c>
      <c r="AL155" s="33">
        <v>0.39860000000000001</v>
      </c>
      <c r="AM155" s="3" t="s">
        <v>2829</v>
      </c>
      <c r="AN155" s="12" t="s">
        <v>728</v>
      </c>
      <c r="AO155" s="12" t="s">
        <v>728</v>
      </c>
      <c r="AP155" s="12" t="str">
        <f>"148706938593464"</f>
        <v>148706938593464</v>
      </c>
      <c r="AQ155" s="12" t="s">
        <v>729</v>
      </c>
      <c r="AR155" s="12" t="s">
        <v>730</v>
      </c>
      <c r="AS155" s="12" t="s">
        <v>731</v>
      </c>
      <c r="AT155" s="12"/>
      <c r="AU155" s="12" t="s">
        <v>324</v>
      </c>
      <c r="AV155" s="12"/>
      <c r="AW155" s="12">
        <v>1962</v>
      </c>
      <c r="AX155" s="12">
        <v>0</v>
      </c>
      <c r="AY155" s="12">
        <v>100</v>
      </c>
      <c r="AZ155" s="12">
        <v>0</v>
      </c>
      <c r="BA155" s="12" t="s">
        <v>732</v>
      </c>
      <c r="BB155" s="12" t="s">
        <v>6994</v>
      </c>
      <c r="BC155" s="12" t="s">
        <v>6995</v>
      </c>
      <c r="BD155" s="12"/>
      <c r="BE155" s="12" t="s">
        <v>2291</v>
      </c>
      <c r="BF155" s="12"/>
      <c r="BG155" s="12"/>
      <c r="BH155" s="12"/>
      <c r="BI155" s="12" t="s">
        <v>733</v>
      </c>
      <c r="BJ155" s="12" t="s">
        <v>2830</v>
      </c>
      <c r="BK155" s="12"/>
      <c r="BL155" s="12" t="s">
        <v>2292</v>
      </c>
      <c r="BM155" s="12" t="s">
        <v>2292</v>
      </c>
      <c r="BN155" s="12" t="s">
        <v>2292</v>
      </c>
      <c r="BO155" s="12" t="s">
        <v>2292</v>
      </c>
      <c r="BP155" s="12" t="s">
        <v>734</v>
      </c>
      <c r="BQ155" s="12"/>
      <c r="BR155" s="12"/>
      <c r="BS155" s="12"/>
      <c r="BT155" s="12" t="s">
        <v>5404</v>
      </c>
      <c r="BU155" s="12"/>
      <c r="BV155" s="12"/>
      <c r="BW155" s="12" t="s">
        <v>735</v>
      </c>
      <c r="BX155" s="12"/>
      <c r="BY155" s="13" t="s">
        <v>313</v>
      </c>
      <c r="BZ155" s="13" t="s">
        <v>6181</v>
      </c>
      <c r="CA155" s="13"/>
      <c r="CB155" s="13"/>
      <c r="CC155" s="13"/>
      <c r="CD155" s="13"/>
      <c r="CE155" s="13"/>
      <c r="CF155" s="13"/>
    </row>
    <row r="156" spans="1:84" ht="18.600000000000001" customHeight="1" x14ac:dyDescent="0.25">
      <c r="A156" s="60" t="s">
        <v>55</v>
      </c>
      <c r="B156" s="2" t="s">
        <v>315</v>
      </c>
      <c r="C156" s="3" t="s">
        <v>3336</v>
      </c>
      <c r="D156" s="12" t="s">
        <v>3344</v>
      </c>
      <c r="E156" s="12" t="s">
        <v>3414</v>
      </c>
      <c r="F156" s="12" t="s">
        <v>4091</v>
      </c>
      <c r="G156" s="25">
        <v>193</v>
      </c>
      <c r="H156" s="25">
        <v>166</v>
      </c>
      <c r="I156" s="25">
        <v>12</v>
      </c>
      <c r="J156" s="25">
        <v>0</v>
      </c>
      <c r="K156" s="25">
        <v>0</v>
      </c>
      <c r="L156" s="25">
        <v>0</v>
      </c>
      <c r="M156" s="25">
        <v>0</v>
      </c>
      <c r="N156" s="31">
        <v>0</v>
      </c>
      <c r="O156" s="25">
        <v>383</v>
      </c>
      <c r="P156" s="25">
        <v>0</v>
      </c>
      <c r="Q156" s="25">
        <v>12</v>
      </c>
      <c r="R156" s="25">
        <v>3</v>
      </c>
      <c r="S156" s="25">
        <v>0</v>
      </c>
      <c r="T156" s="25">
        <v>0</v>
      </c>
      <c r="U156" s="61">
        <v>0</v>
      </c>
      <c r="V156" s="58">
        <v>0</v>
      </c>
      <c r="W156" s="33">
        <v>1E-4</v>
      </c>
      <c r="X156" s="33">
        <v>0</v>
      </c>
      <c r="Y156" s="12" t="s">
        <v>3926</v>
      </c>
      <c r="Z156" s="12" t="s">
        <v>3926</v>
      </c>
      <c r="AA156" s="12" t="s">
        <v>3926</v>
      </c>
      <c r="AB156" s="25">
        <v>106</v>
      </c>
      <c r="AC156" s="25">
        <v>52</v>
      </c>
      <c r="AD156" s="25">
        <v>51</v>
      </c>
      <c r="AE156" s="25">
        <v>0</v>
      </c>
      <c r="AF156" s="25">
        <v>0</v>
      </c>
      <c r="AG156" s="25">
        <v>3</v>
      </c>
      <c r="AH156" s="25">
        <v>0</v>
      </c>
      <c r="AI156" s="12">
        <v>0.24</v>
      </c>
      <c r="AJ156" s="25">
        <v>31848</v>
      </c>
      <c r="AK156" s="25">
        <v>-681</v>
      </c>
      <c r="AL156" s="33">
        <v>-2.0899999999999998E-2</v>
      </c>
      <c r="AM156" s="3" t="s">
        <v>3336</v>
      </c>
      <c r="AN156" s="12" t="s">
        <v>3414</v>
      </c>
      <c r="AO156" s="12" t="s">
        <v>3414</v>
      </c>
      <c r="AP156" s="12" t="str">
        <f>"527591730598198"</f>
        <v>527591730598198</v>
      </c>
      <c r="AQ156" s="12" t="s">
        <v>3344</v>
      </c>
      <c r="AR156" s="12" t="s">
        <v>3415</v>
      </c>
      <c r="AS156" s="12" t="s">
        <v>3416</v>
      </c>
      <c r="AT156" s="12"/>
      <c r="AU156" s="12" t="s">
        <v>324</v>
      </c>
      <c r="AV156" s="12"/>
      <c r="AW156" s="12"/>
      <c r="AX156" s="12">
        <v>0</v>
      </c>
      <c r="AY156" s="12">
        <v>34</v>
      </c>
      <c r="AZ156" s="12">
        <v>0</v>
      </c>
      <c r="BA156" s="12" t="s">
        <v>3417</v>
      </c>
      <c r="BB156" s="12" t="s">
        <v>6626</v>
      </c>
      <c r="BC156" s="12" t="s">
        <v>6627</v>
      </c>
      <c r="BD156" s="12"/>
      <c r="BE156" s="12" t="s">
        <v>2291</v>
      </c>
      <c r="BF156" s="12"/>
      <c r="BG156" s="12"/>
      <c r="BH156" s="12"/>
      <c r="BI156" s="12"/>
      <c r="BJ156" s="12"/>
      <c r="BK156" s="12"/>
      <c r="BL156" s="12" t="s">
        <v>2292</v>
      </c>
      <c r="BM156" s="12" t="s">
        <v>2292</v>
      </c>
      <c r="BN156" s="12" t="s">
        <v>2292</v>
      </c>
      <c r="BO156" s="12" t="s">
        <v>2292</v>
      </c>
      <c r="BP156" s="12"/>
      <c r="BQ156" s="12"/>
      <c r="BR156" s="12"/>
      <c r="BS156" s="12"/>
      <c r="BT156" s="12"/>
      <c r="BU156" s="12"/>
      <c r="BV156" s="12"/>
      <c r="BW156" s="12" t="s">
        <v>3418</v>
      </c>
      <c r="BX156" s="12"/>
      <c r="BY156" s="13" t="s">
        <v>313</v>
      </c>
      <c r="BZ156" s="13" t="s">
        <v>6170</v>
      </c>
      <c r="CA156" s="13" t="s">
        <v>6170</v>
      </c>
      <c r="CB156" s="13" t="s">
        <v>312</v>
      </c>
      <c r="CC156" s="13"/>
      <c r="CD156" s="13" t="s">
        <v>6198</v>
      </c>
      <c r="CE156" s="13"/>
      <c r="CF156" s="13"/>
    </row>
    <row r="157" spans="1:84" ht="18.600000000000001" customHeight="1" x14ac:dyDescent="0.25">
      <c r="A157" s="60" t="s">
        <v>55</v>
      </c>
      <c r="B157" s="2" t="s">
        <v>315</v>
      </c>
      <c r="C157" s="3" t="s">
        <v>3047</v>
      </c>
      <c r="D157" s="12" t="s">
        <v>736</v>
      </c>
      <c r="E157" s="12" t="s">
        <v>737</v>
      </c>
      <c r="F157" s="12" t="s">
        <v>4396</v>
      </c>
      <c r="G157" s="25">
        <v>34471</v>
      </c>
      <c r="H157" s="25">
        <v>22136</v>
      </c>
      <c r="I157" s="25">
        <v>5191</v>
      </c>
      <c r="J157" s="25">
        <v>6300</v>
      </c>
      <c r="K157" s="25">
        <v>9228</v>
      </c>
      <c r="L157" s="25">
        <v>9291</v>
      </c>
      <c r="M157" s="25">
        <v>18519</v>
      </c>
      <c r="N157" s="31">
        <v>0.5</v>
      </c>
      <c r="O157" s="25">
        <v>140</v>
      </c>
      <c r="P157" s="25">
        <v>0</v>
      </c>
      <c r="Q157" s="25">
        <v>267</v>
      </c>
      <c r="R157" s="25">
        <v>96</v>
      </c>
      <c r="S157" s="25">
        <v>166</v>
      </c>
      <c r="T157" s="25">
        <v>237</v>
      </c>
      <c r="U157" s="61">
        <v>78</v>
      </c>
      <c r="V157" s="58">
        <v>2.0999999999999999E-3</v>
      </c>
      <c r="W157" s="33">
        <v>2.3E-3</v>
      </c>
      <c r="X157" s="33">
        <v>1.1000000000000001E-3</v>
      </c>
      <c r="Y157" s="33">
        <v>1.8E-3</v>
      </c>
      <c r="Z157" s="33">
        <v>2.3E-3</v>
      </c>
      <c r="AA157" s="12" t="s">
        <v>3926</v>
      </c>
      <c r="AB157" s="25">
        <v>715</v>
      </c>
      <c r="AC157" s="25">
        <v>443</v>
      </c>
      <c r="AD157" s="25">
        <v>220</v>
      </c>
      <c r="AE157" s="25">
        <v>27</v>
      </c>
      <c r="AF157" s="25">
        <v>24</v>
      </c>
      <c r="AG157" s="25">
        <v>1</v>
      </c>
      <c r="AH157" s="25">
        <v>0</v>
      </c>
      <c r="AI157" s="12">
        <v>1.63</v>
      </c>
      <c r="AJ157" s="25">
        <v>31384</v>
      </c>
      <c r="AK157" s="25">
        <v>13363</v>
      </c>
      <c r="AL157" s="33">
        <v>0.74150000000000005</v>
      </c>
      <c r="AM157" s="3" t="s">
        <v>3047</v>
      </c>
      <c r="AN157" s="12" t="s">
        <v>737</v>
      </c>
      <c r="AO157" s="12" t="s">
        <v>737</v>
      </c>
      <c r="AP157" s="12" t="str">
        <f>"129434340539633"</f>
        <v>129434340539633</v>
      </c>
      <c r="AQ157" s="12" t="s">
        <v>736</v>
      </c>
      <c r="AR157" s="12" t="s">
        <v>738</v>
      </c>
      <c r="AS157" s="12" t="s">
        <v>3048</v>
      </c>
      <c r="AT157" s="12"/>
      <c r="AU157" s="12" t="s">
        <v>324</v>
      </c>
      <c r="AV157" s="12" t="s">
        <v>5731</v>
      </c>
      <c r="AW157" s="12"/>
      <c r="AX157" s="12">
        <v>1149</v>
      </c>
      <c r="AY157" s="12">
        <v>435</v>
      </c>
      <c r="AZ157" s="12">
        <v>1149</v>
      </c>
      <c r="BA157" s="12" t="s">
        <v>739</v>
      </c>
      <c r="BB157" s="12" t="s">
        <v>7322</v>
      </c>
      <c r="BC157" s="12" t="s">
        <v>7323</v>
      </c>
      <c r="BD157" s="12"/>
      <c r="BE157" s="12" t="s">
        <v>2291</v>
      </c>
      <c r="BF157" s="12"/>
      <c r="BG157" s="12"/>
      <c r="BH157" s="12"/>
      <c r="BI157" s="12"/>
      <c r="BJ157" s="12"/>
      <c r="BK157" s="12"/>
      <c r="BL157" s="12" t="s">
        <v>2292</v>
      </c>
      <c r="BM157" s="12" t="s">
        <v>2292</v>
      </c>
      <c r="BN157" s="12" t="s">
        <v>2292</v>
      </c>
      <c r="BO157" s="12" t="s">
        <v>2292</v>
      </c>
      <c r="BP157" s="12"/>
      <c r="BQ157" s="12"/>
      <c r="BR157" s="12"/>
      <c r="BS157" s="12"/>
      <c r="BT157" s="12" t="s">
        <v>3049</v>
      </c>
      <c r="BU157" s="12" t="s">
        <v>326</v>
      </c>
      <c r="BV157" s="12"/>
      <c r="BW157" s="12" t="s">
        <v>5614</v>
      </c>
      <c r="BX157" s="12"/>
      <c r="BY157" s="13" t="s">
        <v>313</v>
      </c>
      <c r="BZ157" s="13" t="s">
        <v>6181</v>
      </c>
      <c r="CA157" s="13" t="s">
        <v>6170</v>
      </c>
      <c r="CB157" s="13" t="s">
        <v>312</v>
      </c>
      <c r="CC157" s="13"/>
      <c r="CD157" s="13" t="s">
        <v>6198</v>
      </c>
      <c r="CE157" s="13" t="s">
        <v>6175</v>
      </c>
      <c r="CF157" s="13"/>
    </row>
    <row r="158" spans="1:84" ht="18.600000000000001" customHeight="1" x14ac:dyDescent="0.25">
      <c r="A158" s="60" t="s">
        <v>55</v>
      </c>
      <c r="B158" s="2" t="s">
        <v>335</v>
      </c>
      <c r="C158" s="3" t="s">
        <v>2776</v>
      </c>
      <c r="D158" s="12" t="s">
        <v>741</v>
      </c>
      <c r="E158" s="12" t="s">
        <v>740</v>
      </c>
      <c r="F158" s="12" t="s">
        <v>4213</v>
      </c>
      <c r="G158" s="25">
        <v>3214</v>
      </c>
      <c r="H158" s="25">
        <v>2599</v>
      </c>
      <c r="I158" s="25">
        <v>172</v>
      </c>
      <c r="J158" s="25">
        <v>396</v>
      </c>
      <c r="K158" s="25">
        <v>119</v>
      </c>
      <c r="L158" s="25">
        <v>6</v>
      </c>
      <c r="M158" s="25">
        <v>125</v>
      </c>
      <c r="N158" s="31">
        <v>0.95</v>
      </c>
      <c r="O158" s="25">
        <v>913</v>
      </c>
      <c r="P158" s="25">
        <v>0</v>
      </c>
      <c r="Q158" s="25">
        <v>40</v>
      </c>
      <c r="R158" s="25">
        <v>3</v>
      </c>
      <c r="S158" s="25">
        <v>4</v>
      </c>
      <c r="T158" s="25">
        <v>0</v>
      </c>
      <c r="U158" s="61">
        <v>0</v>
      </c>
      <c r="V158" s="58">
        <v>1.4E-3</v>
      </c>
      <c r="W158" s="33">
        <v>1.6000000000000001E-3</v>
      </c>
      <c r="X158" s="33">
        <v>1.1000000000000001E-3</v>
      </c>
      <c r="Y158" s="33">
        <v>1.2999999999999999E-3</v>
      </c>
      <c r="Z158" s="33">
        <v>2.9999999999999997E-4</v>
      </c>
      <c r="AA158" s="12" t="s">
        <v>3926</v>
      </c>
      <c r="AB158" s="25">
        <v>192</v>
      </c>
      <c r="AC158" s="25">
        <v>113</v>
      </c>
      <c r="AD158" s="25">
        <v>58</v>
      </c>
      <c r="AE158" s="25">
        <v>9</v>
      </c>
      <c r="AF158" s="25">
        <v>1</v>
      </c>
      <c r="AG158" s="25">
        <v>11</v>
      </c>
      <c r="AH158" s="25">
        <v>0</v>
      </c>
      <c r="AI158" s="12">
        <v>0.44</v>
      </c>
      <c r="AJ158" s="25">
        <v>13405</v>
      </c>
      <c r="AK158" s="25">
        <v>3524</v>
      </c>
      <c r="AL158" s="33">
        <v>0.35659999999999997</v>
      </c>
      <c r="AM158" s="3" t="s">
        <v>2776</v>
      </c>
      <c r="AN158" s="12" t="s">
        <v>740</v>
      </c>
      <c r="AO158" s="12" t="s">
        <v>740</v>
      </c>
      <c r="AP158" s="12" t="str">
        <f>"560581960628136"</f>
        <v>560581960628136</v>
      </c>
      <c r="AQ158" s="12" t="s">
        <v>741</v>
      </c>
      <c r="AR158" s="12" t="s">
        <v>742</v>
      </c>
      <c r="AS158" s="12" t="s">
        <v>743</v>
      </c>
      <c r="AT158" s="12"/>
      <c r="AU158" s="12" t="s">
        <v>324</v>
      </c>
      <c r="AV158" s="12" t="s">
        <v>5731</v>
      </c>
      <c r="AW158" s="12"/>
      <c r="AX158" s="12">
        <v>1097</v>
      </c>
      <c r="AY158" s="12">
        <v>99</v>
      </c>
      <c r="AZ158" s="12">
        <v>1097</v>
      </c>
      <c r="BA158" s="12" t="s">
        <v>744</v>
      </c>
      <c r="BB158" s="12" t="s">
        <v>6933</v>
      </c>
      <c r="BC158" s="12" t="s">
        <v>6934</v>
      </c>
      <c r="BD158" s="12"/>
      <c r="BE158" s="12" t="s">
        <v>2291</v>
      </c>
      <c r="BF158" s="12"/>
      <c r="BG158" s="12"/>
      <c r="BH158" s="12"/>
      <c r="BI158" s="12"/>
      <c r="BJ158" s="12" t="s">
        <v>745</v>
      </c>
      <c r="BK158" s="12"/>
      <c r="BL158" s="12" t="s">
        <v>2292</v>
      </c>
      <c r="BM158" s="12" t="s">
        <v>2292</v>
      </c>
      <c r="BN158" s="12" t="s">
        <v>2292</v>
      </c>
      <c r="BO158" s="12" t="s">
        <v>2292</v>
      </c>
      <c r="BP158" s="12" t="s">
        <v>2777</v>
      </c>
      <c r="BQ158" s="12"/>
      <c r="BR158" s="12"/>
      <c r="BS158" s="12"/>
      <c r="BT158" s="12" t="s">
        <v>2778</v>
      </c>
      <c r="BU158" s="12" t="s">
        <v>326</v>
      </c>
      <c r="BV158" s="12"/>
      <c r="BW158" s="12" t="s">
        <v>746</v>
      </c>
      <c r="BX158" s="12"/>
      <c r="BY158" s="13" t="s">
        <v>313</v>
      </c>
      <c r="BZ158" s="13" t="s">
        <v>6174</v>
      </c>
      <c r="CA158" s="13"/>
      <c r="CB158" s="13"/>
      <c r="CC158" s="13"/>
      <c r="CD158" s="13"/>
      <c r="CE158" s="13"/>
      <c r="CF158" s="13"/>
    </row>
    <row r="159" spans="1:84" ht="18.600000000000001" customHeight="1" x14ac:dyDescent="0.25">
      <c r="A159" s="60" t="s">
        <v>56</v>
      </c>
      <c r="B159" s="2" t="s">
        <v>751</v>
      </c>
      <c r="C159" s="3" t="s">
        <v>2449</v>
      </c>
      <c r="D159" s="12" t="s">
        <v>3288</v>
      </c>
      <c r="E159" s="12" t="s">
        <v>747</v>
      </c>
      <c r="F159" s="12" t="s">
        <v>4024</v>
      </c>
      <c r="G159" s="25">
        <v>543848</v>
      </c>
      <c r="H159" s="25">
        <v>406950</v>
      </c>
      <c r="I159" s="25">
        <v>87381</v>
      </c>
      <c r="J159" s="25">
        <v>20069</v>
      </c>
      <c r="K159" s="25">
        <v>1230162</v>
      </c>
      <c r="L159" s="25">
        <v>254317</v>
      </c>
      <c r="M159" s="25">
        <v>1484479</v>
      </c>
      <c r="N159" s="31">
        <v>0.83</v>
      </c>
      <c r="O159" s="25">
        <v>4902</v>
      </c>
      <c r="P159" s="25">
        <v>500179</v>
      </c>
      <c r="Q159" s="25">
        <v>23251</v>
      </c>
      <c r="R159" s="25">
        <v>1914</v>
      </c>
      <c r="S159" s="25">
        <v>1559</v>
      </c>
      <c r="T159" s="25">
        <v>2144</v>
      </c>
      <c r="U159" s="61">
        <v>579</v>
      </c>
      <c r="V159" s="58">
        <v>1.8E-3</v>
      </c>
      <c r="W159" s="33">
        <v>2.5000000000000001E-3</v>
      </c>
      <c r="X159" s="33">
        <v>2.8E-3</v>
      </c>
      <c r="Y159" s="33">
        <v>1.6999999999999999E-3</v>
      </c>
      <c r="Z159" s="33">
        <v>1E-3</v>
      </c>
      <c r="AA159" s="33">
        <v>2.3E-3</v>
      </c>
      <c r="AB159" s="25">
        <v>580</v>
      </c>
      <c r="AC159" s="25">
        <v>290</v>
      </c>
      <c r="AD159" s="25">
        <v>7</v>
      </c>
      <c r="AE159" s="25">
        <v>19</v>
      </c>
      <c r="AF159" s="25">
        <v>262</v>
      </c>
      <c r="AG159" s="25">
        <v>1</v>
      </c>
      <c r="AH159" s="25">
        <v>1</v>
      </c>
      <c r="AI159" s="12">
        <v>1.32</v>
      </c>
      <c r="AJ159" s="25">
        <v>606133</v>
      </c>
      <c r="AK159" s="25">
        <v>164002</v>
      </c>
      <c r="AL159" s="33">
        <v>0.37090000000000001</v>
      </c>
      <c r="AM159" s="3" t="s">
        <v>2449</v>
      </c>
      <c r="AN159" s="12" t="s">
        <v>747</v>
      </c>
      <c r="AO159" s="12" t="s">
        <v>747</v>
      </c>
      <c r="AP159" s="12" t="str">
        <f>"827021447354082"</f>
        <v>827021447354082</v>
      </c>
      <c r="AQ159" s="12" t="s">
        <v>3288</v>
      </c>
      <c r="AR159" s="12" t="s">
        <v>5806</v>
      </c>
      <c r="AS159" s="12" t="s">
        <v>748</v>
      </c>
      <c r="AT159" s="12" t="s">
        <v>749</v>
      </c>
      <c r="AU159" s="12" t="s">
        <v>309</v>
      </c>
      <c r="AV159" s="12"/>
      <c r="AW159" s="12"/>
      <c r="AX159" s="12">
        <v>0</v>
      </c>
      <c r="AY159" s="12">
        <v>6004</v>
      </c>
      <c r="AZ159" s="12">
        <v>0</v>
      </c>
      <c r="BA159" s="12" t="s">
        <v>750</v>
      </c>
      <c r="BB159" s="12" t="s">
        <v>6487</v>
      </c>
      <c r="BC159" s="12" t="s">
        <v>6488</v>
      </c>
      <c r="BD159" s="12"/>
      <c r="BE159" s="12" t="s">
        <v>2291</v>
      </c>
      <c r="BF159" s="12"/>
      <c r="BG159" s="12"/>
      <c r="BH159" s="12"/>
      <c r="BI159" s="12"/>
      <c r="BJ159" s="12"/>
      <c r="BK159" s="12"/>
      <c r="BL159" s="12" t="s">
        <v>2292</v>
      </c>
      <c r="BM159" s="12" t="s">
        <v>2292</v>
      </c>
      <c r="BN159" s="12" t="s">
        <v>2292</v>
      </c>
      <c r="BO159" s="12" t="s">
        <v>2291</v>
      </c>
      <c r="BP159" s="12"/>
      <c r="BQ159" s="12"/>
      <c r="BR159" s="12"/>
      <c r="BS159" s="12"/>
      <c r="BT159" s="12"/>
      <c r="BU159" s="12"/>
      <c r="BV159" s="12"/>
      <c r="BW159" s="12" t="s">
        <v>2450</v>
      </c>
      <c r="BX159" s="12"/>
      <c r="BY159" s="13" t="s">
        <v>313</v>
      </c>
      <c r="BZ159" s="13" t="s">
        <v>6174</v>
      </c>
      <c r="CA159" s="13" t="s">
        <v>6170</v>
      </c>
      <c r="CB159" s="13" t="s">
        <v>6197</v>
      </c>
      <c r="CC159" s="13"/>
      <c r="CD159" s="13" t="s">
        <v>6198</v>
      </c>
      <c r="CE159" s="13"/>
      <c r="CF159" s="13"/>
    </row>
    <row r="160" spans="1:84" ht="18.600000000000001" customHeight="1" x14ac:dyDescent="0.25">
      <c r="A160" s="60" t="s">
        <v>56</v>
      </c>
      <c r="B160" s="2" t="s">
        <v>314</v>
      </c>
      <c r="C160" s="3" t="s">
        <v>2998</v>
      </c>
      <c r="D160" s="12" t="s">
        <v>753</v>
      </c>
      <c r="E160" s="12" t="s">
        <v>752</v>
      </c>
      <c r="F160" s="12" t="s">
        <v>4369</v>
      </c>
      <c r="G160" s="25">
        <v>31734</v>
      </c>
      <c r="H160" s="25">
        <v>24402</v>
      </c>
      <c r="I160" s="25">
        <v>3047</v>
      </c>
      <c r="J160" s="25">
        <v>2584</v>
      </c>
      <c r="K160" s="25">
        <v>1624</v>
      </c>
      <c r="L160" s="25">
        <v>112</v>
      </c>
      <c r="M160" s="25">
        <v>1736</v>
      </c>
      <c r="N160" s="31">
        <v>0.94</v>
      </c>
      <c r="O160" s="25">
        <v>54281</v>
      </c>
      <c r="P160" s="25">
        <v>0</v>
      </c>
      <c r="Q160" s="25">
        <v>1292</v>
      </c>
      <c r="R160" s="25">
        <v>156</v>
      </c>
      <c r="S160" s="25">
        <v>87</v>
      </c>
      <c r="T160" s="25">
        <v>151</v>
      </c>
      <c r="U160" s="61">
        <v>15</v>
      </c>
      <c r="V160" s="58">
        <v>1E-3</v>
      </c>
      <c r="W160" s="33">
        <v>1.1999999999999999E-3</v>
      </c>
      <c r="X160" s="12" t="s">
        <v>3926</v>
      </c>
      <c r="Y160" s="33">
        <v>8.0000000000000004E-4</v>
      </c>
      <c r="Z160" s="33">
        <v>2.9999999999999997E-4</v>
      </c>
      <c r="AA160" s="33">
        <v>2.9999999999999997E-4</v>
      </c>
      <c r="AB160" s="25">
        <v>676</v>
      </c>
      <c r="AC160" s="25">
        <v>479</v>
      </c>
      <c r="AD160" s="25">
        <v>0</v>
      </c>
      <c r="AE160" s="25">
        <v>95</v>
      </c>
      <c r="AF160" s="25">
        <v>5</v>
      </c>
      <c r="AG160" s="25">
        <v>96</v>
      </c>
      <c r="AH160" s="25">
        <v>1</v>
      </c>
      <c r="AI160" s="12">
        <v>1.54</v>
      </c>
      <c r="AJ160" s="25">
        <v>47530</v>
      </c>
      <c r="AK160" s="25">
        <v>5327</v>
      </c>
      <c r="AL160" s="33">
        <v>0.12620000000000001</v>
      </c>
      <c r="AM160" s="3" t="s">
        <v>2998</v>
      </c>
      <c r="AN160" s="12" t="s">
        <v>752</v>
      </c>
      <c r="AO160" s="12" t="s">
        <v>752</v>
      </c>
      <c r="AP160" s="12" t="str">
        <f>"322302104497897"</f>
        <v>322302104497897</v>
      </c>
      <c r="AQ160" s="12" t="s">
        <v>753</v>
      </c>
      <c r="AR160" s="12" t="s">
        <v>5469</v>
      </c>
      <c r="AS160" s="12" t="s">
        <v>754</v>
      </c>
      <c r="AT160" s="12"/>
      <c r="AU160" s="12" t="s">
        <v>324</v>
      </c>
      <c r="AV160" s="12"/>
      <c r="AW160" s="12">
        <v>1964</v>
      </c>
      <c r="AX160" s="12">
        <v>0</v>
      </c>
      <c r="AY160" s="12">
        <v>1134</v>
      </c>
      <c r="AZ160" s="12">
        <v>0</v>
      </c>
      <c r="BA160" s="12" t="s">
        <v>755</v>
      </c>
      <c r="BB160" s="12"/>
      <c r="BC160" s="12" t="s">
        <v>7264</v>
      </c>
      <c r="BD160" s="12"/>
      <c r="BE160" s="12" t="s">
        <v>2291</v>
      </c>
      <c r="BF160" s="12"/>
      <c r="BG160" s="12"/>
      <c r="BH160" s="12"/>
      <c r="BI160" s="12" t="s">
        <v>2999</v>
      </c>
      <c r="BJ160" s="12"/>
      <c r="BK160" s="12"/>
      <c r="BL160" s="12" t="s">
        <v>2292</v>
      </c>
      <c r="BM160" s="12" t="s">
        <v>2292</v>
      </c>
      <c r="BN160" s="12" t="s">
        <v>2292</v>
      </c>
      <c r="BO160" s="12" t="s">
        <v>2292</v>
      </c>
      <c r="BP160" s="12"/>
      <c r="BQ160" s="12"/>
      <c r="BR160" s="12"/>
      <c r="BS160" s="12"/>
      <c r="BT160" s="12"/>
      <c r="BU160" s="12"/>
      <c r="BV160" s="12"/>
      <c r="BW160" s="12"/>
      <c r="BX160" s="12"/>
      <c r="BY160" s="13" t="s">
        <v>313</v>
      </c>
      <c r="BZ160" s="13" t="s">
        <v>312</v>
      </c>
      <c r="CA160" s="13"/>
      <c r="CB160" s="13"/>
      <c r="CC160" s="13"/>
      <c r="CD160" s="13"/>
      <c r="CE160" s="13"/>
      <c r="CF160" s="13"/>
    </row>
    <row r="161" spans="1:84" ht="18.600000000000001" customHeight="1" x14ac:dyDescent="0.25">
      <c r="A161" s="60" t="s">
        <v>60</v>
      </c>
      <c r="B161" s="2" t="s">
        <v>5722</v>
      </c>
      <c r="C161" s="3" t="s">
        <v>5723</v>
      </c>
      <c r="D161" s="12" t="s">
        <v>5814</v>
      </c>
      <c r="E161" s="12" t="s">
        <v>6519</v>
      </c>
      <c r="F161" s="12" t="s">
        <v>6080</v>
      </c>
      <c r="G161" s="25">
        <v>425246</v>
      </c>
      <c r="H161" s="25">
        <v>307066</v>
      </c>
      <c r="I161" s="25">
        <v>76280</v>
      </c>
      <c r="J161" s="25">
        <v>24086</v>
      </c>
      <c r="K161" s="25">
        <v>537637</v>
      </c>
      <c r="L161" s="25">
        <v>365814</v>
      </c>
      <c r="M161" s="25">
        <v>903451</v>
      </c>
      <c r="N161" s="31">
        <v>0.6</v>
      </c>
      <c r="O161" s="25">
        <v>55642</v>
      </c>
      <c r="P161" s="25">
        <v>0</v>
      </c>
      <c r="Q161" s="25">
        <v>14261</v>
      </c>
      <c r="R161" s="25">
        <v>1046</v>
      </c>
      <c r="S161" s="25">
        <v>1389</v>
      </c>
      <c r="T161" s="25">
        <v>847</v>
      </c>
      <c r="U161" s="61">
        <v>271</v>
      </c>
      <c r="V161" s="58">
        <v>1.26E-2</v>
      </c>
      <c r="W161" s="33">
        <v>1.32E-2</v>
      </c>
      <c r="X161" s="33">
        <v>8.3999999999999995E-3</v>
      </c>
      <c r="Y161" s="33">
        <v>1.95E-2</v>
      </c>
      <c r="Z161" s="33">
        <v>1.9099999999999999E-2</v>
      </c>
      <c r="AA161" s="33">
        <v>1.6000000000000001E-3</v>
      </c>
      <c r="AB161" s="25">
        <v>223</v>
      </c>
      <c r="AC161" s="25">
        <v>155</v>
      </c>
      <c r="AD161" s="25">
        <v>9</v>
      </c>
      <c r="AE161" s="25">
        <v>22</v>
      </c>
      <c r="AF161" s="25">
        <v>19</v>
      </c>
      <c r="AG161" s="25">
        <v>8</v>
      </c>
      <c r="AH161" s="25">
        <v>10</v>
      </c>
      <c r="AI161" s="12">
        <v>0.51</v>
      </c>
      <c r="AJ161" s="25">
        <v>169059</v>
      </c>
      <c r="AK161" s="25">
        <v>0</v>
      </c>
      <c r="AL161" s="31">
        <v>0</v>
      </c>
      <c r="AM161" s="3" t="s">
        <v>5723</v>
      </c>
      <c r="AN161" s="12" t="s">
        <v>5813</v>
      </c>
      <c r="AO161" s="12" t="s">
        <v>6519</v>
      </c>
      <c r="AP161" s="12" t="str">
        <f>"709844565772844"</f>
        <v>709844565772844</v>
      </c>
      <c r="AQ161" s="12" t="s">
        <v>5814</v>
      </c>
      <c r="AR161" s="12" t="s">
        <v>6520</v>
      </c>
      <c r="AS161" s="12" t="s">
        <v>5815</v>
      </c>
      <c r="AT161" s="12"/>
      <c r="AU161" s="12" t="s">
        <v>424</v>
      </c>
      <c r="AV161" s="12"/>
      <c r="AW161" s="12"/>
      <c r="AX161" s="12">
        <v>0</v>
      </c>
      <c r="AY161" s="12">
        <v>15046</v>
      </c>
      <c r="AZ161" s="12">
        <v>0</v>
      </c>
      <c r="BA161" s="12" t="s">
        <v>6521</v>
      </c>
      <c r="BB161" s="12"/>
      <c r="BC161" s="12" t="s">
        <v>6522</v>
      </c>
      <c r="BD161" s="12"/>
      <c r="BE161" s="12" t="s">
        <v>2291</v>
      </c>
      <c r="BF161" s="12"/>
      <c r="BG161" s="12"/>
      <c r="BH161" s="12"/>
      <c r="BI161" s="12"/>
      <c r="BJ161" s="12"/>
      <c r="BK161" s="12"/>
      <c r="BL161" s="12" t="s">
        <v>2292</v>
      </c>
      <c r="BM161" s="12" t="s">
        <v>2292</v>
      </c>
      <c r="BN161" s="12" t="s">
        <v>2292</v>
      </c>
      <c r="BO161" s="12" t="s">
        <v>2291</v>
      </c>
      <c r="BP161" s="12"/>
      <c r="BQ161" s="12"/>
      <c r="BR161" s="12"/>
      <c r="BS161" s="12"/>
      <c r="BT161" s="12"/>
      <c r="BU161" s="12"/>
      <c r="BV161" s="12"/>
      <c r="BW161" s="12"/>
      <c r="BX161" s="12"/>
      <c r="BY161" s="13" t="s">
        <v>313</v>
      </c>
      <c r="BZ161" s="13" t="s">
        <v>312</v>
      </c>
      <c r="CA161" s="13" t="s">
        <v>6170</v>
      </c>
      <c r="CB161" s="13" t="s">
        <v>6199</v>
      </c>
      <c r="CC161" s="13"/>
      <c r="CD161" s="13" t="s">
        <v>6204</v>
      </c>
      <c r="CE161" s="13"/>
      <c r="CF161" s="13"/>
    </row>
    <row r="162" spans="1:84" ht="18.600000000000001" customHeight="1" x14ac:dyDescent="0.25">
      <c r="A162" s="60" t="s">
        <v>61</v>
      </c>
      <c r="B162" s="2" t="s">
        <v>762</v>
      </c>
      <c r="C162" s="3" t="s">
        <v>2333</v>
      </c>
      <c r="D162" s="12" t="s">
        <v>756</v>
      </c>
      <c r="E162" s="12" t="s">
        <v>757</v>
      </c>
      <c r="F162" s="12" t="s">
        <v>3958</v>
      </c>
      <c r="G162" s="25">
        <v>842117</v>
      </c>
      <c r="H162" s="25">
        <v>684238</v>
      </c>
      <c r="I162" s="25">
        <v>73492</v>
      </c>
      <c r="J162" s="25">
        <v>19811</v>
      </c>
      <c r="K162" s="25">
        <v>520592</v>
      </c>
      <c r="L162" s="25">
        <v>250539</v>
      </c>
      <c r="M162" s="25">
        <v>771131</v>
      </c>
      <c r="N162" s="31">
        <v>0.68</v>
      </c>
      <c r="O162" s="25">
        <v>0</v>
      </c>
      <c r="P162" s="25">
        <v>9684</v>
      </c>
      <c r="Q162" s="25">
        <v>50013</v>
      </c>
      <c r="R162" s="25">
        <v>3557</v>
      </c>
      <c r="S162" s="25">
        <v>5523</v>
      </c>
      <c r="T162" s="25">
        <v>3544</v>
      </c>
      <c r="U162" s="61">
        <v>1868</v>
      </c>
      <c r="V162" s="58">
        <v>4.7000000000000002E-3</v>
      </c>
      <c r="W162" s="33">
        <v>5.7000000000000002E-3</v>
      </c>
      <c r="X162" s="33">
        <v>2.5999999999999999E-3</v>
      </c>
      <c r="Y162" s="33">
        <v>3.0000000000000001E-3</v>
      </c>
      <c r="Z162" s="33">
        <v>4.8999999999999998E-3</v>
      </c>
      <c r="AA162" s="33">
        <v>2E-3</v>
      </c>
      <c r="AB162" s="25">
        <v>116</v>
      </c>
      <c r="AC162" s="25">
        <v>67</v>
      </c>
      <c r="AD162" s="25">
        <v>1</v>
      </c>
      <c r="AE162" s="25">
        <v>35</v>
      </c>
      <c r="AF162" s="25">
        <v>10</v>
      </c>
      <c r="AG162" s="25">
        <v>0</v>
      </c>
      <c r="AH162" s="25">
        <v>3</v>
      </c>
      <c r="AI162" s="12">
        <v>0.26</v>
      </c>
      <c r="AJ162" s="25">
        <v>1604447</v>
      </c>
      <c r="AK162" s="25">
        <v>180744</v>
      </c>
      <c r="AL162" s="33">
        <v>0.127</v>
      </c>
      <c r="AM162" s="3" t="s">
        <v>2333</v>
      </c>
      <c r="AN162" s="12" t="s">
        <v>757</v>
      </c>
      <c r="AO162" s="12" t="s">
        <v>757</v>
      </c>
      <c r="AP162" s="12" t="str">
        <f>"34246523291"</f>
        <v>34246523291</v>
      </c>
      <c r="AQ162" s="12" t="s">
        <v>756</v>
      </c>
      <c r="AR162" s="12" t="s">
        <v>758</v>
      </c>
      <c r="AS162" s="12" t="s">
        <v>3197</v>
      </c>
      <c r="AT162" s="12" t="s">
        <v>2334</v>
      </c>
      <c r="AU162" s="12" t="s">
        <v>309</v>
      </c>
      <c r="AV162" s="12"/>
      <c r="AW162" s="12"/>
      <c r="AX162" s="12">
        <v>0</v>
      </c>
      <c r="AY162" s="12">
        <v>5151</v>
      </c>
      <c r="AZ162" s="12">
        <v>0</v>
      </c>
      <c r="BA162" s="12" t="s">
        <v>759</v>
      </c>
      <c r="BB162" s="12" t="s">
        <v>5742</v>
      </c>
      <c r="BC162" s="12" t="s">
        <v>6316</v>
      </c>
      <c r="BD162" s="12"/>
      <c r="BE162" s="12" t="s">
        <v>2291</v>
      </c>
      <c r="BF162" s="12"/>
      <c r="BG162" s="12"/>
      <c r="BH162" s="12"/>
      <c r="BI162" s="12"/>
      <c r="BJ162" s="12"/>
      <c r="BK162" s="12"/>
      <c r="BL162" s="12" t="s">
        <v>2292</v>
      </c>
      <c r="BM162" s="12" t="s">
        <v>2292</v>
      </c>
      <c r="BN162" s="12" t="s">
        <v>2292</v>
      </c>
      <c r="BO162" s="12" t="s">
        <v>2291</v>
      </c>
      <c r="BP162" s="12"/>
      <c r="BQ162" s="12"/>
      <c r="BR162" s="12"/>
      <c r="BS162" s="12"/>
      <c r="BT162" s="12" t="s">
        <v>760</v>
      </c>
      <c r="BU162" s="12"/>
      <c r="BV162" s="12"/>
      <c r="BW162" s="12" t="s">
        <v>761</v>
      </c>
      <c r="BX162" s="12"/>
      <c r="BY162" s="13" t="s">
        <v>313</v>
      </c>
      <c r="BZ162" s="13" t="s">
        <v>6172</v>
      </c>
      <c r="CA162" s="13" t="s">
        <v>6170</v>
      </c>
      <c r="CB162" s="13" t="s">
        <v>312</v>
      </c>
      <c r="CC162" s="13"/>
      <c r="CD162" s="13" t="s">
        <v>6198</v>
      </c>
      <c r="CE162" s="13"/>
      <c r="CF162" s="13"/>
    </row>
    <row r="163" spans="1:84" ht="18.600000000000001" customHeight="1" x14ac:dyDescent="0.25">
      <c r="A163" s="60" t="s">
        <v>61</v>
      </c>
      <c r="B163" s="2" t="s">
        <v>314</v>
      </c>
      <c r="C163" s="3" t="s">
        <v>2327</v>
      </c>
      <c r="D163" s="12" t="s">
        <v>763</v>
      </c>
      <c r="E163" s="12" t="s">
        <v>2328</v>
      </c>
      <c r="F163" s="12" t="s">
        <v>3956</v>
      </c>
      <c r="G163" s="25">
        <v>5313687</v>
      </c>
      <c r="H163" s="25">
        <v>4747374</v>
      </c>
      <c r="I163" s="25">
        <v>223996</v>
      </c>
      <c r="J163" s="25">
        <v>113487</v>
      </c>
      <c r="K163" s="25">
        <v>1643949</v>
      </c>
      <c r="L163" s="25">
        <v>711872</v>
      </c>
      <c r="M163" s="25">
        <v>2355821</v>
      </c>
      <c r="N163" s="31">
        <v>0.7</v>
      </c>
      <c r="O163" s="25">
        <v>17043</v>
      </c>
      <c r="P163" s="25">
        <v>217339</v>
      </c>
      <c r="Q163" s="25">
        <v>147431</v>
      </c>
      <c r="R163" s="25">
        <v>14113</v>
      </c>
      <c r="S163" s="25">
        <v>34542</v>
      </c>
      <c r="T163" s="25">
        <v>15213</v>
      </c>
      <c r="U163" s="61">
        <v>17353</v>
      </c>
      <c r="V163" s="58">
        <v>8.9999999999999998E-4</v>
      </c>
      <c r="W163" s="33">
        <v>2E-3</v>
      </c>
      <c r="X163" s="33">
        <v>5.0000000000000001E-4</v>
      </c>
      <c r="Y163" s="33">
        <v>2.9999999999999997E-4</v>
      </c>
      <c r="Z163" s="33">
        <v>2.3E-3</v>
      </c>
      <c r="AA163" s="33">
        <v>6.9999999999999999E-4</v>
      </c>
      <c r="AB163" s="25">
        <v>3890</v>
      </c>
      <c r="AC163" s="25">
        <v>1292</v>
      </c>
      <c r="AD163" s="25">
        <v>852</v>
      </c>
      <c r="AE163" s="25">
        <v>1587</v>
      </c>
      <c r="AF163" s="25">
        <v>61</v>
      </c>
      <c r="AG163" s="25">
        <v>1</v>
      </c>
      <c r="AH163" s="25">
        <v>97</v>
      </c>
      <c r="AI163" s="12">
        <v>8.86</v>
      </c>
      <c r="AJ163" s="25">
        <v>1591521</v>
      </c>
      <c r="AK163" s="25">
        <v>284171</v>
      </c>
      <c r="AL163" s="33">
        <v>0.21740000000000001</v>
      </c>
      <c r="AM163" s="3" t="s">
        <v>2327</v>
      </c>
      <c r="AN163" s="12" t="s">
        <v>2328</v>
      </c>
      <c r="AO163" s="12" t="s">
        <v>2328</v>
      </c>
      <c r="AP163" s="12" t="str">
        <f>"204629649613285"</f>
        <v>204629649613285</v>
      </c>
      <c r="AQ163" s="12" t="s">
        <v>763</v>
      </c>
      <c r="AR163" s="12" t="s">
        <v>758</v>
      </c>
      <c r="AS163" s="12" t="s">
        <v>764</v>
      </c>
      <c r="AT163" s="12"/>
      <c r="AU163" s="12" t="s">
        <v>324</v>
      </c>
      <c r="AV163" s="12"/>
      <c r="AW163" s="12" t="s">
        <v>2329</v>
      </c>
      <c r="AX163" s="12">
        <v>0</v>
      </c>
      <c r="AY163" s="12">
        <v>31012</v>
      </c>
      <c r="AZ163" s="12">
        <v>0</v>
      </c>
      <c r="BA163" s="12" t="s">
        <v>2330</v>
      </c>
      <c r="BB163" s="12" t="s">
        <v>5741</v>
      </c>
      <c r="BC163" s="12" t="s">
        <v>6315</v>
      </c>
      <c r="BD163" s="12"/>
      <c r="BE163" s="12" t="s">
        <v>2291</v>
      </c>
      <c r="BF163" s="12"/>
      <c r="BG163" s="12"/>
      <c r="BH163" s="12"/>
      <c r="BI163" s="12" t="s">
        <v>2331</v>
      </c>
      <c r="BJ163" s="12"/>
      <c r="BK163" s="12"/>
      <c r="BL163" s="12" t="s">
        <v>2292</v>
      </c>
      <c r="BM163" s="12" t="s">
        <v>2292</v>
      </c>
      <c r="BN163" s="12" t="s">
        <v>2292</v>
      </c>
      <c r="BO163" s="12" t="s">
        <v>2291</v>
      </c>
      <c r="BP163" s="12"/>
      <c r="BQ163" s="12"/>
      <c r="BR163" s="12"/>
      <c r="BS163" s="12"/>
      <c r="BT163" s="12" t="s">
        <v>2332</v>
      </c>
      <c r="BU163" s="12"/>
      <c r="BV163" s="12"/>
      <c r="BW163" s="12" t="s">
        <v>765</v>
      </c>
      <c r="BX163" s="12"/>
      <c r="BY163" s="13" t="s">
        <v>313</v>
      </c>
      <c r="BZ163" s="13" t="s">
        <v>6172</v>
      </c>
      <c r="CA163" s="13"/>
      <c r="CB163" s="13"/>
      <c r="CC163" s="13"/>
      <c r="CD163" s="13"/>
      <c r="CE163" s="13"/>
      <c r="CF163" s="13"/>
    </row>
    <row r="164" spans="1:84" ht="18.600000000000001" customHeight="1" x14ac:dyDescent="0.25">
      <c r="A164" s="60" t="s">
        <v>61</v>
      </c>
      <c r="B164" s="2" t="s">
        <v>768</v>
      </c>
      <c r="C164" s="3" t="s">
        <v>2439</v>
      </c>
      <c r="D164" s="12" t="s">
        <v>770</v>
      </c>
      <c r="E164" s="12" t="s">
        <v>769</v>
      </c>
      <c r="F164" s="12" t="s">
        <v>4017</v>
      </c>
      <c r="G164" s="25">
        <v>4318865</v>
      </c>
      <c r="H164" s="25">
        <v>3937089</v>
      </c>
      <c r="I164" s="25">
        <v>184370</v>
      </c>
      <c r="J164" s="25">
        <v>54752</v>
      </c>
      <c r="K164" s="25">
        <v>4168820</v>
      </c>
      <c r="L164" s="25">
        <v>902157</v>
      </c>
      <c r="M164" s="25">
        <v>5070977</v>
      </c>
      <c r="N164" s="31">
        <v>0.82</v>
      </c>
      <c r="O164" s="25">
        <v>60168</v>
      </c>
      <c r="P164" s="25">
        <v>272836</v>
      </c>
      <c r="Q164" s="25">
        <v>81410</v>
      </c>
      <c r="R164" s="25">
        <v>7887</v>
      </c>
      <c r="S164" s="25">
        <v>25259</v>
      </c>
      <c r="T164" s="25">
        <v>20598</v>
      </c>
      <c r="U164" s="61">
        <v>7337</v>
      </c>
      <c r="V164" s="58">
        <v>6.9999999999999999E-4</v>
      </c>
      <c r="W164" s="33">
        <v>8.0000000000000004E-4</v>
      </c>
      <c r="X164" s="33">
        <v>2.9999999999999997E-4</v>
      </c>
      <c r="Y164" s="33">
        <v>5.0000000000000001E-4</v>
      </c>
      <c r="Z164" s="33">
        <v>5.0000000000000001E-4</v>
      </c>
      <c r="AA164" s="33">
        <v>1E-4</v>
      </c>
      <c r="AB164" s="25">
        <v>1907</v>
      </c>
      <c r="AC164" s="25">
        <v>1439</v>
      </c>
      <c r="AD164" s="25">
        <v>28</v>
      </c>
      <c r="AE164" s="25">
        <v>129</v>
      </c>
      <c r="AF164" s="25">
        <v>255</v>
      </c>
      <c r="AG164" s="25">
        <v>8</v>
      </c>
      <c r="AH164" s="25">
        <v>48</v>
      </c>
      <c r="AI164" s="12">
        <v>4.34</v>
      </c>
      <c r="AJ164" s="25">
        <v>3738942</v>
      </c>
      <c r="AK164" s="25">
        <v>1397139</v>
      </c>
      <c r="AL164" s="33">
        <v>0.59660000000000002</v>
      </c>
      <c r="AM164" s="3" t="s">
        <v>2439</v>
      </c>
      <c r="AN164" s="12" t="s">
        <v>769</v>
      </c>
      <c r="AO164" s="12" t="s">
        <v>769</v>
      </c>
      <c r="AP164" s="12" t="str">
        <f>"69628229716"</f>
        <v>69628229716</v>
      </c>
      <c r="AQ164" s="12" t="s">
        <v>770</v>
      </c>
      <c r="AR164" s="12" t="s">
        <v>767</v>
      </c>
      <c r="AS164" s="12" t="s">
        <v>771</v>
      </c>
      <c r="AT164" s="12" t="s">
        <v>2440</v>
      </c>
      <c r="AU164" s="12" t="s">
        <v>309</v>
      </c>
      <c r="AV164" s="12"/>
      <c r="AW164" s="12"/>
      <c r="AX164" s="12">
        <v>0</v>
      </c>
      <c r="AY164" s="12">
        <v>33647</v>
      </c>
      <c r="AZ164" s="12">
        <v>0</v>
      </c>
      <c r="BA164" s="12" t="s">
        <v>255</v>
      </c>
      <c r="BB164" s="12" t="s">
        <v>5801</v>
      </c>
      <c r="BC164" s="12" t="s">
        <v>6473</v>
      </c>
      <c r="BD164" s="12"/>
      <c r="BE164" s="12" t="s">
        <v>2291</v>
      </c>
      <c r="BF164" s="12"/>
      <c r="BG164" s="12"/>
      <c r="BH164" s="12"/>
      <c r="BI164" s="12"/>
      <c r="BJ164" s="12"/>
      <c r="BK164" s="12"/>
      <c r="BL164" s="12" t="s">
        <v>2292</v>
      </c>
      <c r="BM164" s="12" t="s">
        <v>2292</v>
      </c>
      <c r="BN164" s="12" t="s">
        <v>2292</v>
      </c>
      <c r="BO164" s="12" t="s">
        <v>2291</v>
      </c>
      <c r="BP164" s="12"/>
      <c r="BQ164" s="12"/>
      <c r="BR164" s="12"/>
      <c r="BS164" s="12"/>
      <c r="BT164" s="12"/>
      <c r="BU164" s="12"/>
      <c r="BV164" s="12"/>
      <c r="BW164" s="12" t="s">
        <v>772</v>
      </c>
      <c r="BX164" s="12"/>
      <c r="BY164" s="13" t="s">
        <v>313</v>
      </c>
      <c r="BZ164" s="13" t="s">
        <v>312</v>
      </c>
      <c r="CA164" s="13"/>
      <c r="CB164" s="13"/>
      <c r="CC164" s="13"/>
      <c r="CD164" s="13"/>
      <c r="CE164" s="13"/>
      <c r="CF164" s="13"/>
    </row>
    <row r="165" spans="1:84" ht="18.600000000000001" customHeight="1" x14ac:dyDescent="0.25">
      <c r="A165" s="60" t="s">
        <v>61</v>
      </c>
      <c r="B165" s="2" t="s">
        <v>768</v>
      </c>
      <c r="C165" s="3" t="s">
        <v>3510</v>
      </c>
      <c r="D165" s="12" t="s">
        <v>766</v>
      </c>
      <c r="E165" s="12" t="s">
        <v>3525</v>
      </c>
      <c r="F165" s="12" t="s">
        <v>3931</v>
      </c>
      <c r="G165" s="25">
        <v>1880382</v>
      </c>
      <c r="H165" s="25">
        <v>1749188</v>
      </c>
      <c r="I165" s="25">
        <v>67658</v>
      </c>
      <c r="J165" s="25">
        <v>19237</v>
      </c>
      <c r="K165" s="25">
        <v>800151</v>
      </c>
      <c r="L165" s="25">
        <v>190643</v>
      </c>
      <c r="M165" s="25">
        <v>990794</v>
      </c>
      <c r="N165" s="31">
        <v>0.81</v>
      </c>
      <c r="O165" s="25">
        <v>104926</v>
      </c>
      <c r="P165" s="25">
        <v>26302</v>
      </c>
      <c r="Q165" s="25">
        <v>22109</v>
      </c>
      <c r="R165" s="25">
        <v>2136</v>
      </c>
      <c r="S165" s="25">
        <v>11425</v>
      </c>
      <c r="T165" s="25">
        <v>4422</v>
      </c>
      <c r="U165" s="61">
        <v>4116</v>
      </c>
      <c r="V165" s="58">
        <v>1.6999999999999999E-3</v>
      </c>
      <c r="W165" s="33">
        <v>2.2000000000000001E-3</v>
      </c>
      <c r="X165" s="33">
        <v>1.1000000000000001E-3</v>
      </c>
      <c r="Y165" s="33">
        <v>8.0000000000000004E-4</v>
      </c>
      <c r="Z165" s="33">
        <v>1.6000000000000001E-3</v>
      </c>
      <c r="AA165" s="33">
        <v>5.9999999999999995E-4</v>
      </c>
      <c r="AB165" s="25">
        <v>1773</v>
      </c>
      <c r="AC165" s="25">
        <v>1194</v>
      </c>
      <c r="AD165" s="25">
        <v>8</v>
      </c>
      <c r="AE165" s="25">
        <v>218</v>
      </c>
      <c r="AF165" s="25">
        <v>81</v>
      </c>
      <c r="AG165" s="25">
        <v>14</v>
      </c>
      <c r="AH165" s="25">
        <v>258</v>
      </c>
      <c r="AI165" s="12">
        <v>4.04</v>
      </c>
      <c r="AJ165" s="25">
        <v>702275</v>
      </c>
      <c r="AK165" s="25">
        <v>210006</v>
      </c>
      <c r="AL165" s="33">
        <v>0.42659999999999998</v>
      </c>
      <c r="AM165" s="3" t="s">
        <v>3510</v>
      </c>
      <c r="AN165" s="12" t="s">
        <v>3525</v>
      </c>
      <c r="AO165" s="12" t="s">
        <v>3525</v>
      </c>
      <c r="AP165" s="12" t="str">
        <f>"1560000967544721"</f>
        <v>1560000967544721</v>
      </c>
      <c r="AQ165" s="12" t="s">
        <v>766</v>
      </c>
      <c r="AR165" s="12" t="s">
        <v>767</v>
      </c>
      <c r="AS165" s="12" t="s">
        <v>2300</v>
      </c>
      <c r="AT165" s="12"/>
      <c r="AU165" s="12" t="s">
        <v>324</v>
      </c>
      <c r="AV165" s="12" t="s">
        <v>5731</v>
      </c>
      <c r="AW165" s="12"/>
      <c r="AX165" s="12">
        <v>8644</v>
      </c>
      <c r="AY165" s="12">
        <v>14222</v>
      </c>
      <c r="AZ165" s="12">
        <v>0</v>
      </c>
      <c r="BA165" s="12" t="s">
        <v>3526</v>
      </c>
      <c r="BB165" s="12" t="s">
        <v>6265</v>
      </c>
      <c r="BC165" s="12" t="s">
        <v>6266</v>
      </c>
      <c r="BD165" s="12"/>
      <c r="BE165" s="12" t="s">
        <v>2291</v>
      </c>
      <c r="BF165" s="12"/>
      <c r="BG165" s="12"/>
      <c r="BH165" s="12"/>
      <c r="BI165" s="12" t="s">
        <v>3527</v>
      </c>
      <c r="BJ165" s="12"/>
      <c r="BK165" s="12"/>
      <c r="BL165" s="12" t="s">
        <v>2292</v>
      </c>
      <c r="BM165" s="12" t="s">
        <v>2292</v>
      </c>
      <c r="BN165" s="12" t="s">
        <v>2292</v>
      </c>
      <c r="BO165" s="12" t="s">
        <v>2291</v>
      </c>
      <c r="BP165" s="12"/>
      <c r="BQ165" s="12"/>
      <c r="BR165" s="12"/>
      <c r="BS165" s="12"/>
      <c r="BT165" s="12">
        <v>93702103333</v>
      </c>
      <c r="BU165" s="12" t="s">
        <v>326</v>
      </c>
      <c r="BV165" s="12"/>
      <c r="BW165" s="12" t="s">
        <v>4841</v>
      </c>
      <c r="BX165" s="12"/>
      <c r="BY165" s="13" t="s">
        <v>313</v>
      </c>
      <c r="BZ165" s="13" t="s">
        <v>6172</v>
      </c>
      <c r="CA165" s="13" t="s">
        <v>6170</v>
      </c>
      <c r="CB165" s="13" t="s">
        <v>6197</v>
      </c>
      <c r="CC165" s="13"/>
      <c r="CD165" s="13" t="s">
        <v>6198</v>
      </c>
      <c r="CE165" s="13"/>
      <c r="CF165" s="13"/>
    </row>
    <row r="166" spans="1:84" ht="18.600000000000001" customHeight="1" x14ac:dyDescent="0.25">
      <c r="A166" s="60" t="s">
        <v>61</v>
      </c>
      <c r="B166" s="2" t="s">
        <v>315</v>
      </c>
      <c r="C166" s="3" t="s">
        <v>2522</v>
      </c>
      <c r="D166" s="12" t="s">
        <v>774</v>
      </c>
      <c r="E166" s="12" t="s">
        <v>773</v>
      </c>
      <c r="F166" s="12" t="s">
        <v>4072</v>
      </c>
      <c r="G166" s="25">
        <v>27843</v>
      </c>
      <c r="H166" s="25">
        <v>24401</v>
      </c>
      <c r="I166" s="25">
        <v>1037</v>
      </c>
      <c r="J166" s="25">
        <v>1497</v>
      </c>
      <c r="K166" s="25">
        <v>29040</v>
      </c>
      <c r="L166" s="25">
        <v>41051</v>
      </c>
      <c r="M166" s="25">
        <v>70091</v>
      </c>
      <c r="N166" s="31">
        <v>0.41</v>
      </c>
      <c r="O166" s="25">
        <v>3106</v>
      </c>
      <c r="P166" s="25">
        <v>25777</v>
      </c>
      <c r="Q166" s="25">
        <v>746</v>
      </c>
      <c r="R166" s="25">
        <v>42</v>
      </c>
      <c r="S166" s="25">
        <v>50</v>
      </c>
      <c r="T166" s="25">
        <v>41</v>
      </c>
      <c r="U166" s="61">
        <v>29</v>
      </c>
      <c r="V166" s="58">
        <v>6.9999999999999999E-4</v>
      </c>
      <c r="W166" s="33">
        <v>1.4E-3</v>
      </c>
      <c r="X166" s="33">
        <v>4.0000000000000002E-4</v>
      </c>
      <c r="Y166" s="33">
        <v>2.0000000000000001E-4</v>
      </c>
      <c r="Z166" s="33">
        <v>3.3999999999999998E-3</v>
      </c>
      <c r="AA166" s="33">
        <v>1E-4</v>
      </c>
      <c r="AB166" s="25">
        <v>5090</v>
      </c>
      <c r="AC166" s="25">
        <v>1091</v>
      </c>
      <c r="AD166" s="25">
        <v>1523</v>
      </c>
      <c r="AE166" s="25">
        <v>2203</v>
      </c>
      <c r="AF166" s="25">
        <v>139</v>
      </c>
      <c r="AG166" s="25">
        <v>36</v>
      </c>
      <c r="AH166" s="25">
        <v>98</v>
      </c>
      <c r="AI166" s="12">
        <v>11.59</v>
      </c>
      <c r="AJ166" s="25">
        <v>13507</v>
      </c>
      <c r="AK166" s="25">
        <v>9940</v>
      </c>
      <c r="AL166" s="33">
        <v>2.7867000000000002</v>
      </c>
      <c r="AM166" s="3" t="s">
        <v>2522</v>
      </c>
      <c r="AN166" s="12" t="s">
        <v>773</v>
      </c>
      <c r="AO166" s="12" t="s">
        <v>773</v>
      </c>
      <c r="AP166" s="12" t="str">
        <f>"111622312251281"</f>
        <v>111622312251281</v>
      </c>
      <c r="AQ166" s="12" t="s">
        <v>774</v>
      </c>
      <c r="AR166" s="12" t="s">
        <v>775</v>
      </c>
      <c r="AS166" s="12" t="s">
        <v>2523</v>
      </c>
      <c r="AT166" s="12"/>
      <c r="AU166" s="12" t="s">
        <v>324</v>
      </c>
      <c r="AV166" s="12"/>
      <c r="AW166" s="12">
        <v>2008</v>
      </c>
      <c r="AX166" s="12">
        <v>0</v>
      </c>
      <c r="AY166" s="12">
        <v>191</v>
      </c>
      <c r="AZ166" s="12">
        <v>0</v>
      </c>
      <c r="BA166" s="12" t="s">
        <v>776</v>
      </c>
      <c r="BB166" s="12" t="s">
        <v>6591</v>
      </c>
      <c r="BC166" s="12" t="s">
        <v>6592</v>
      </c>
      <c r="BD166" s="12"/>
      <c r="BE166" s="12" t="s">
        <v>2291</v>
      </c>
      <c r="BF166" s="12"/>
      <c r="BG166" s="12"/>
      <c r="BH166" s="12"/>
      <c r="BI166" s="12" t="s">
        <v>777</v>
      </c>
      <c r="BJ166" s="12" t="s">
        <v>2524</v>
      </c>
      <c r="BK166" s="12"/>
      <c r="BL166" s="12" t="s">
        <v>2292</v>
      </c>
      <c r="BM166" s="12" t="s">
        <v>2292</v>
      </c>
      <c r="BN166" s="12" t="s">
        <v>2292</v>
      </c>
      <c r="BO166" s="12" t="s">
        <v>2292</v>
      </c>
      <c r="BP166" s="12" t="s">
        <v>778</v>
      </c>
      <c r="BQ166" s="12"/>
      <c r="BR166" s="12"/>
      <c r="BS166" s="12"/>
      <c r="BT166" s="12" t="s">
        <v>2525</v>
      </c>
      <c r="BU166" s="12"/>
      <c r="BV166" s="12" t="s">
        <v>2526</v>
      </c>
      <c r="BW166" s="12" t="s">
        <v>779</v>
      </c>
      <c r="BX166" s="12"/>
      <c r="BY166" s="13" t="s">
        <v>313</v>
      </c>
      <c r="BZ166" s="13" t="s">
        <v>6170</v>
      </c>
      <c r="CA166" s="13" t="s">
        <v>6170</v>
      </c>
      <c r="CB166" s="13" t="s">
        <v>6200</v>
      </c>
      <c r="CC166" s="13"/>
      <c r="CD166" s="13" t="s">
        <v>6198</v>
      </c>
      <c r="CE166" s="13"/>
      <c r="CF166" s="13"/>
    </row>
    <row r="167" spans="1:84" ht="18.600000000000001" customHeight="1" x14ac:dyDescent="0.25">
      <c r="A167" s="60" t="s">
        <v>61</v>
      </c>
      <c r="B167" s="2" t="s">
        <v>784</v>
      </c>
      <c r="C167" s="3" t="s">
        <v>2967</v>
      </c>
      <c r="D167" s="12" t="s">
        <v>780</v>
      </c>
      <c r="E167" s="12" t="s">
        <v>781</v>
      </c>
      <c r="F167" s="12" t="s">
        <v>4347</v>
      </c>
      <c r="G167" s="25">
        <v>609783</v>
      </c>
      <c r="H167" s="25">
        <v>547995</v>
      </c>
      <c r="I167" s="25">
        <v>33069</v>
      </c>
      <c r="J167" s="25">
        <v>9761</v>
      </c>
      <c r="K167" s="25">
        <v>0</v>
      </c>
      <c r="L167" s="25">
        <v>0</v>
      </c>
      <c r="M167" s="25">
        <v>0</v>
      </c>
      <c r="N167" s="31">
        <v>0</v>
      </c>
      <c r="O167" s="25">
        <v>0</v>
      </c>
      <c r="P167" s="25">
        <v>0</v>
      </c>
      <c r="Q167" s="25">
        <v>9439</v>
      </c>
      <c r="R167" s="25">
        <v>702</v>
      </c>
      <c r="S167" s="25">
        <v>4635</v>
      </c>
      <c r="T167" s="25">
        <v>3558</v>
      </c>
      <c r="U167" s="61">
        <v>608</v>
      </c>
      <c r="V167" s="58">
        <v>2.8999999999999998E-3</v>
      </c>
      <c r="W167" s="33">
        <v>3.0999999999999999E-3</v>
      </c>
      <c r="X167" s="12" t="s">
        <v>3926</v>
      </c>
      <c r="Y167" s="33">
        <v>2.3E-3</v>
      </c>
      <c r="Z167" s="12" t="s">
        <v>3926</v>
      </c>
      <c r="AA167" s="12" t="s">
        <v>3926</v>
      </c>
      <c r="AB167" s="25">
        <v>448</v>
      </c>
      <c r="AC167" s="25">
        <v>375</v>
      </c>
      <c r="AD167" s="25">
        <v>0</v>
      </c>
      <c r="AE167" s="25">
        <v>73</v>
      </c>
      <c r="AF167" s="25">
        <v>0</v>
      </c>
      <c r="AG167" s="25">
        <v>0</v>
      </c>
      <c r="AH167" s="25">
        <v>0</v>
      </c>
      <c r="AI167" s="12">
        <v>1.02</v>
      </c>
      <c r="AJ167" s="25">
        <v>471308</v>
      </c>
      <c r="AK167" s="25">
        <v>19365</v>
      </c>
      <c r="AL167" s="33">
        <v>4.2799999999999998E-2</v>
      </c>
      <c r="AM167" s="3" t="s">
        <v>2967</v>
      </c>
      <c r="AN167" s="12" t="s">
        <v>781</v>
      </c>
      <c r="AO167" s="12" t="s">
        <v>781</v>
      </c>
      <c r="AP167" s="12" t="str">
        <f>"233038883480385"</f>
        <v>233038883480385</v>
      </c>
      <c r="AQ167" s="12" t="s">
        <v>780</v>
      </c>
      <c r="AR167" s="12" t="s">
        <v>782</v>
      </c>
      <c r="AS167" s="12" t="s">
        <v>2968</v>
      </c>
      <c r="AT167" s="12" t="s">
        <v>2969</v>
      </c>
      <c r="AU167" s="12" t="s">
        <v>309</v>
      </c>
      <c r="AV167" s="12"/>
      <c r="AW167" s="12"/>
      <c r="AX167" s="12">
        <v>0</v>
      </c>
      <c r="AY167" s="12">
        <v>7373</v>
      </c>
      <c r="AZ167" s="12">
        <v>0</v>
      </c>
      <c r="BA167" s="12" t="s">
        <v>783</v>
      </c>
      <c r="BB167" s="12" t="s">
        <v>6001</v>
      </c>
      <c r="BC167" s="12" t="s">
        <v>7208</v>
      </c>
      <c r="BD167" s="12"/>
      <c r="BE167" s="12" t="s">
        <v>2291</v>
      </c>
      <c r="BF167" s="12"/>
      <c r="BG167" s="12"/>
      <c r="BH167" s="12"/>
      <c r="BI167" s="12"/>
      <c r="BJ167" s="12"/>
      <c r="BK167" s="12"/>
      <c r="BL167" s="12" t="s">
        <v>2292</v>
      </c>
      <c r="BM167" s="12" t="s">
        <v>2292</v>
      </c>
      <c r="BN167" s="12" t="s">
        <v>2292</v>
      </c>
      <c r="BO167" s="12" t="s">
        <v>2291</v>
      </c>
      <c r="BP167" s="12"/>
      <c r="BQ167" s="12"/>
      <c r="BR167" s="12"/>
      <c r="BS167" s="12"/>
      <c r="BT167" s="12"/>
      <c r="BU167" s="12"/>
      <c r="BV167" s="12"/>
      <c r="BW167" s="12" t="s">
        <v>61</v>
      </c>
      <c r="BX167" s="12"/>
      <c r="BY167" s="13" t="s">
        <v>313</v>
      </c>
      <c r="BZ167" s="13" t="s">
        <v>6170</v>
      </c>
      <c r="CA167" s="13" t="s">
        <v>6170</v>
      </c>
      <c r="CB167" s="13" t="s">
        <v>6197</v>
      </c>
      <c r="CC167" s="13"/>
      <c r="CD167" s="13" t="s">
        <v>6198</v>
      </c>
      <c r="CE167" s="13"/>
      <c r="CF167" s="13"/>
    </row>
    <row r="168" spans="1:84" ht="18.600000000000001" customHeight="1" x14ac:dyDescent="0.25">
      <c r="A168" s="60" t="s">
        <v>61</v>
      </c>
      <c r="B168" s="2" t="s">
        <v>335</v>
      </c>
      <c r="C168" s="3" t="s">
        <v>2687</v>
      </c>
      <c r="D168" s="12" t="s">
        <v>786</v>
      </c>
      <c r="E168" s="12" t="s">
        <v>785</v>
      </c>
      <c r="F168" s="12" t="s">
        <v>4170</v>
      </c>
      <c r="G168" s="25">
        <v>123965</v>
      </c>
      <c r="H168" s="25">
        <v>116881</v>
      </c>
      <c r="I168" s="25">
        <v>1738</v>
      </c>
      <c r="J168" s="25">
        <v>3572</v>
      </c>
      <c r="K168" s="25">
        <v>82134</v>
      </c>
      <c r="L168" s="25">
        <v>15583</v>
      </c>
      <c r="M168" s="25">
        <v>97717</v>
      </c>
      <c r="N168" s="31">
        <v>0.84</v>
      </c>
      <c r="O168" s="25">
        <v>0</v>
      </c>
      <c r="P168" s="25">
        <v>125</v>
      </c>
      <c r="Q168" s="25">
        <v>1086</v>
      </c>
      <c r="R168" s="25">
        <v>102</v>
      </c>
      <c r="S168" s="25">
        <v>375</v>
      </c>
      <c r="T168" s="25">
        <v>159</v>
      </c>
      <c r="U168" s="61">
        <v>52</v>
      </c>
      <c r="V168" s="58">
        <v>8.9999999999999998E-4</v>
      </c>
      <c r="W168" s="33">
        <v>1.8E-3</v>
      </c>
      <c r="X168" s="33">
        <v>6.9999999999999999E-4</v>
      </c>
      <c r="Y168" s="33">
        <v>1.1000000000000001E-3</v>
      </c>
      <c r="Z168" s="33">
        <v>1.4E-3</v>
      </c>
      <c r="AA168" s="12" t="s">
        <v>3926</v>
      </c>
      <c r="AB168" s="25">
        <v>1105</v>
      </c>
      <c r="AC168" s="25">
        <v>167</v>
      </c>
      <c r="AD168" s="25">
        <v>881</v>
      </c>
      <c r="AE168" s="25">
        <v>30</v>
      </c>
      <c r="AF168" s="25">
        <v>27</v>
      </c>
      <c r="AG168" s="25">
        <v>0</v>
      </c>
      <c r="AH168" s="25">
        <v>0</v>
      </c>
      <c r="AI168" s="12">
        <v>2.52</v>
      </c>
      <c r="AJ168" s="25">
        <v>131555</v>
      </c>
      <c r="AK168" s="25">
        <v>6179</v>
      </c>
      <c r="AL168" s="33">
        <v>4.9299999999999997E-2</v>
      </c>
      <c r="AM168" s="3" t="s">
        <v>2687</v>
      </c>
      <c r="AN168" s="12" t="s">
        <v>785</v>
      </c>
      <c r="AO168" s="12" t="s">
        <v>785</v>
      </c>
      <c r="AP168" s="12" t="str">
        <f>"274221069302547"</f>
        <v>274221069302547</v>
      </c>
      <c r="AQ168" s="12" t="s">
        <v>786</v>
      </c>
      <c r="AR168" s="12" t="s">
        <v>4909</v>
      </c>
      <c r="AS168" s="12" t="s">
        <v>4910</v>
      </c>
      <c r="AT168" s="12"/>
      <c r="AU168" s="12" t="s">
        <v>4907</v>
      </c>
      <c r="AV168" s="12" t="s">
        <v>5827</v>
      </c>
      <c r="AW168" s="12"/>
      <c r="AX168" s="12">
        <v>2143</v>
      </c>
      <c r="AY168" s="12">
        <v>1010</v>
      </c>
      <c r="AZ168" s="12">
        <v>2143</v>
      </c>
      <c r="BA168" s="12" t="s">
        <v>787</v>
      </c>
      <c r="BB168" s="12" t="s">
        <v>6812</v>
      </c>
      <c r="BC168" s="12" t="s">
        <v>6813</v>
      </c>
      <c r="BD168" s="12"/>
      <c r="BE168" s="12" t="s">
        <v>2291</v>
      </c>
      <c r="BF168" s="12"/>
      <c r="BG168" s="12"/>
      <c r="BH168" s="12"/>
      <c r="BI168" s="12"/>
      <c r="BJ168" s="12"/>
      <c r="BK168" s="12" t="s">
        <v>6814</v>
      </c>
      <c r="BL168" s="12" t="s">
        <v>2292</v>
      </c>
      <c r="BM168" s="12" t="s">
        <v>2292</v>
      </c>
      <c r="BN168" s="12" t="s">
        <v>2292</v>
      </c>
      <c r="BO168" s="12" t="s">
        <v>2291</v>
      </c>
      <c r="BP168" s="12"/>
      <c r="BQ168" s="12"/>
      <c r="BR168" s="12"/>
      <c r="BS168" s="12"/>
      <c r="BT168" s="12">
        <v>93202100372</v>
      </c>
      <c r="BU168" s="12" t="s">
        <v>326</v>
      </c>
      <c r="BV168" s="12"/>
      <c r="BW168" s="12" t="s">
        <v>788</v>
      </c>
      <c r="BX168" s="12"/>
      <c r="BY168" s="13" t="s">
        <v>313</v>
      </c>
      <c r="BZ168" s="13" t="s">
        <v>6170</v>
      </c>
      <c r="CA168" s="13" t="s">
        <v>6170</v>
      </c>
      <c r="CB168" s="13" t="s">
        <v>6200</v>
      </c>
      <c r="CC168" s="13"/>
      <c r="CD168" s="13" t="s">
        <v>6195</v>
      </c>
      <c r="CE168" s="13"/>
      <c r="CF168" s="13" t="s">
        <v>6178</v>
      </c>
    </row>
    <row r="169" spans="1:84" ht="18.600000000000001" customHeight="1" x14ac:dyDescent="0.25">
      <c r="A169" s="60" t="s">
        <v>62</v>
      </c>
      <c r="B169" s="2" t="s">
        <v>4930</v>
      </c>
      <c r="C169" s="4" t="s">
        <v>4931</v>
      </c>
      <c r="D169" s="12" t="s">
        <v>4953</v>
      </c>
      <c r="E169" s="12" t="s">
        <v>4952</v>
      </c>
      <c r="F169" s="12" t="s">
        <v>5114</v>
      </c>
      <c r="G169" s="25">
        <v>728304</v>
      </c>
      <c r="H169" s="25">
        <v>610631</v>
      </c>
      <c r="I169" s="25">
        <v>18522</v>
      </c>
      <c r="J169" s="25">
        <v>62418</v>
      </c>
      <c r="K169" s="25">
        <v>4080864</v>
      </c>
      <c r="L169" s="25">
        <v>1556824</v>
      </c>
      <c r="M169" s="25">
        <v>5637688</v>
      </c>
      <c r="N169" s="31">
        <v>0.72</v>
      </c>
      <c r="O169" s="25">
        <v>69213</v>
      </c>
      <c r="P169" s="25">
        <v>146170</v>
      </c>
      <c r="Q169" s="25">
        <v>30188</v>
      </c>
      <c r="R169" s="25">
        <v>1473</v>
      </c>
      <c r="S169" s="25">
        <v>2374</v>
      </c>
      <c r="T169" s="25">
        <v>1207</v>
      </c>
      <c r="U169" s="61">
        <v>1478</v>
      </c>
      <c r="V169" s="58">
        <v>6.7999999999999996E-3</v>
      </c>
      <c r="W169" s="33">
        <v>7.4999999999999997E-3</v>
      </c>
      <c r="X169" s="33">
        <v>6.1999999999999998E-3</v>
      </c>
      <c r="Y169" s="33">
        <v>1.38E-2</v>
      </c>
      <c r="Z169" s="33">
        <v>7.7999999999999996E-3</v>
      </c>
      <c r="AA169" s="33">
        <v>4.8999999999999998E-3</v>
      </c>
      <c r="AB169" s="25">
        <v>1387</v>
      </c>
      <c r="AC169" s="25">
        <v>633</v>
      </c>
      <c r="AD169" s="25">
        <v>247</v>
      </c>
      <c r="AE169" s="25">
        <v>13</v>
      </c>
      <c r="AF169" s="25">
        <v>325</v>
      </c>
      <c r="AG169" s="25">
        <v>8</v>
      </c>
      <c r="AH169" s="25">
        <v>161</v>
      </c>
      <c r="AI169" s="12">
        <v>3.16</v>
      </c>
      <c r="AJ169" s="25">
        <v>85856</v>
      </c>
      <c r="AK169" s="25">
        <v>0</v>
      </c>
      <c r="AL169" s="31">
        <v>0</v>
      </c>
      <c r="AM169" s="4" t="s">
        <v>4931</v>
      </c>
      <c r="AN169" s="12" t="s">
        <v>4952</v>
      </c>
      <c r="AO169" s="12" t="s">
        <v>4952</v>
      </c>
      <c r="AP169" s="12" t="str">
        <f>"128108877258453"</f>
        <v>128108877258453</v>
      </c>
      <c r="AQ169" s="12" t="s">
        <v>4953</v>
      </c>
      <c r="AR169" s="12" t="s">
        <v>4954</v>
      </c>
      <c r="AS169" s="12"/>
      <c r="AT169" s="12"/>
      <c r="AU169" s="12" t="s">
        <v>309</v>
      </c>
      <c r="AV169" s="12"/>
      <c r="AW169" s="12"/>
      <c r="AX169" s="12">
        <v>0</v>
      </c>
      <c r="AY169" s="12">
        <v>5534</v>
      </c>
      <c r="AZ169" s="12">
        <v>0</v>
      </c>
      <c r="BA169" s="12" t="s">
        <v>4955</v>
      </c>
      <c r="BB169" s="12" t="s">
        <v>6728</v>
      </c>
      <c r="BC169" s="12" t="s">
        <v>6729</v>
      </c>
      <c r="BD169" s="12"/>
      <c r="BE169" s="12" t="s">
        <v>2291</v>
      </c>
      <c r="BF169" s="12"/>
      <c r="BG169" s="12"/>
      <c r="BH169" s="12"/>
      <c r="BI169" s="12"/>
      <c r="BJ169" s="12"/>
      <c r="BK169" s="12"/>
      <c r="BL169" s="12" t="s">
        <v>2292</v>
      </c>
      <c r="BM169" s="12" t="s">
        <v>2292</v>
      </c>
      <c r="BN169" s="12" t="s">
        <v>2292</v>
      </c>
      <c r="BO169" s="12" t="s">
        <v>2291</v>
      </c>
      <c r="BP169" s="12"/>
      <c r="BQ169" s="12"/>
      <c r="BR169" s="12"/>
      <c r="BS169" s="12"/>
      <c r="BT169" s="12"/>
      <c r="BU169" s="12"/>
      <c r="BV169" s="12"/>
      <c r="BW169" s="12" t="s">
        <v>4956</v>
      </c>
      <c r="BX169" s="12"/>
      <c r="BY169" s="13" t="s">
        <v>313</v>
      </c>
      <c r="BZ169" s="13" t="s">
        <v>6177</v>
      </c>
      <c r="CA169" s="13"/>
      <c r="CB169" s="13"/>
      <c r="CC169" s="13"/>
      <c r="CD169" s="13"/>
      <c r="CE169" s="13"/>
      <c r="CF169" s="13"/>
    </row>
    <row r="170" spans="1:84" ht="18.600000000000001" customHeight="1" x14ac:dyDescent="0.25">
      <c r="A170" s="60" t="s">
        <v>62</v>
      </c>
      <c r="B170" s="2" t="s">
        <v>335</v>
      </c>
      <c r="C170" s="3" t="s">
        <v>2688</v>
      </c>
      <c r="D170" s="12" t="s">
        <v>3786</v>
      </c>
      <c r="E170" s="12" t="s">
        <v>789</v>
      </c>
      <c r="F170" s="12" t="s">
        <v>4171</v>
      </c>
      <c r="G170" s="25">
        <v>30905</v>
      </c>
      <c r="H170" s="25">
        <v>26900</v>
      </c>
      <c r="I170" s="25">
        <v>257</v>
      </c>
      <c r="J170" s="25">
        <v>3319</v>
      </c>
      <c r="K170" s="25">
        <v>17405</v>
      </c>
      <c r="L170" s="25">
        <v>7958</v>
      </c>
      <c r="M170" s="25">
        <v>25363</v>
      </c>
      <c r="N170" s="31">
        <v>0.69</v>
      </c>
      <c r="O170" s="25">
        <v>13198</v>
      </c>
      <c r="P170" s="25">
        <v>1119</v>
      </c>
      <c r="Q170" s="25">
        <v>308</v>
      </c>
      <c r="R170" s="25">
        <v>7</v>
      </c>
      <c r="S170" s="25">
        <v>16</v>
      </c>
      <c r="T170" s="25">
        <v>72</v>
      </c>
      <c r="U170" s="61">
        <v>25</v>
      </c>
      <c r="V170" s="58">
        <v>8.9999999999999998E-4</v>
      </c>
      <c r="W170" s="33">
        <v>1.1000000000000001E-3</v>
      </c>
      <c r="X170" s="33">
        <v>6.9999999999999999E-4</v>
      </c>
      <c r="Y170" s="33">
        <v>4.0000000000000002E-4</v>
      </c>
      <c r="Z170" s="33">
        <v>1.6000000000000001E-3</v>
      </c>
      <c r="AA170" s="33">
        <v>1E-3</v>
      </c>
      <c r="AB170" s="25">
        <v>1605</v>
      </c>
      <c r="AC170" s="25">
        <v>1021</v>
      </c>
      <c r="AD170" s="25">
        <v>455</v>
      </c>
      <c r="AE170" s="25">
        <v>47</v>
      </c>
      <c r="AF170" s="25">
        <v>24</v>
      </c>
      <c r="AG170" s="25">
        <v>15</v>
      </c>
      <c r="AH170" s="25">
        <v>43</v>
      </c>
      <c r="AI170" s="12">
        <v>3.66</v>
      </c>
      <c r="AJ170" s="25">
        <v>20769</v>
      </c>
      <c r="AK170" s="25">
        <v>1595</v>
      </c>
      <c r="AL170" s="33">
        <v>8.3199999999999996E-2</v>
      </c>
      <c r="AM170" s="3" t="s">
        <v>2688</v>
      </c>
      <c r="AN170" s="12" t="s">
        <v>789</v>
      </c>
      <c r="AO170" s="12" t="s">
        <v>789</v>
      </c>
      <c r="AP170" s="12" t="str">
        <f>"205600472799490"</f>
        <v>205600472799490</v>
      </c>
      <c r="AQ170" s="12" t="s">
        <v>3786</v>
      </c>
      <c r="AR170" s="12" t="s">
        <v>790</v>
      </c>
      <c r="AS170" s="12" t="s">
        <v>791</v>
      </c>
      <c r="AT170" s="12"/>
      <c r="AU170" s="12" t="s">
        <v>324</v>
      </c>
      <c r="AV170" s="12" t="s">
        <v>5731</v>
      </c>
      <c r="AW170" s="12"/>
      <c r="AX170" s="12">
        <v>368</v>
      </c>
      <c r="AY170" s="12">
        <v>236</v>
      </c>
      <c r="AZ170" s="12">
        <v>368</v>
      </c>
      <c r="BA170" s="12" t="s">
        <v>792</v>
      </c>
      <c r="BB170" s="12" t="s">
        <v>6815</v>
      </c>
      <c r="BC170" s="12" t="s">
        <v>6816</v>
      </c>
      <c r="BD170" s="12"/>
      <c r="BE170" s="12" t="s">
        <v>2291</v>
      </c>
      <c r="BF170" s="12"/>
      <c r="BG170" s="12"/>
      <c r="BH170" s="12"/>
      <c r="BI170" s="12" t="s">
        <v>2689</v>
      </c>
      <c r="BJ170" s="12"/>
      <c r="BK170" s="12"/>
      <c r="BL170" s="12" t="s">
        <v>2292</v>
      </c>
      <c r="BM170" s="12" t="s">
        <v>2292</v>
      </c>
      <c r="BN170" s="12" t="s">
        <v>2292</v>
      </c>
      <c r="BO170" s="12" t="s">
        <v>2291</v>
      </c>
      <c r="BP170" s="12"/>
      <c r="BQ170" s="12"/>
      <c r="BR170" s="12"/>
      <c r="BS170" s="12"/>
      <c r="BT170" s="12" t="s">
        <v>2690</v>
      </c>
      <c r="BU170" s="12" t="s">
        <v>326</v>
      </c>
      <c r="BV170" s="12"/>
      <c r="BW170" s="12" t="s">
        <v>3836</v>
      </c>
      <c r="BX170" s="12"/>
      <c r="BY170" s="13" t="s">
        <v>313</v>
      </c>
      <c r="BZ170" s="13" t="s">
        <v>6181</v>
      </c>
      <c r="CA170" s="13" t="s">
        <v>6170</v>
      </c>
      <c r="CB170" s="13" t="s">
        <v>6200</v>
      </c>
      <c r="CC170" s="13"/>
      <c r="CD170" s="13" t="s">
        <v>6198</v>
      </c>
      <c r="CE170" s="13"/>
      <c r="CF170" s="13"/>
    </row>
    <row r="171" spans="1:84" ht="18.600000000000001" customHeight="1" x14ac:dyDescent="0.25">
      <c r="A171" s="60" t="s">
        <v>63</v>
      </c>
      <c r="B171" s="2" t="s">
        <v>796</v>
      </c>
      <c r="C171" s="3" t="s">
        <v>2905</v>
      </c>
      <c r="D171" s="12" t="s">
        <v>794</v>
      </c>
      <c r="E171" s="12" t="s">
        <v>793</v>
      </c>
      <c r="F171" s="12" t="s">
        <v>4309</v>
      </c>
      <c r="G171" s="25">
        <v>650432</v>
      </c>
      <c r="H171" s="25">
        <v>575884</v>
      </c>
      <c r="I171" s="25">
        <v>10524</v>
      </c>
      <c r="J171" s="25">
        <v>35913</v>
      </c>
      <c r="K171" s="25">
        <v>984774</v>
      </c>
      <c r="L171" s="25">
        <v>242858</v>
      </c>
      <c r="M171" s="25">
        <v>1227632</v>
      </c>
      <c r="N171" s="31">
        <v>0.8</v>
      </c>
      <c r="O171" s="25">
        <v>8218</v>
      </c>
      <c r="P171" s="25">
        <v>0</v>
      </c>
      <c r="Q171" s="25">
        <v>20550</v>
      </c>
      <c r="R171" s="25">
        <v>293</v>
      </c>
      <c r="S171" s="25">
        <v>425</v>
      </c>
      <c r="T171" s="25">
        <v>5721</v>
      </c>
      <c r="U171" s="61">
        <v>1081</v>
      </c>
      <c r="V171" s="58">
        <v>3.5999999999999999E-3</v>
      </c>
      <c r="W171" s="33">
        <v>4.4000000000000003E-3</v>
      </c>
      <c r="X171" s="12" t="s">
        <v>3926</v>
      </c>
      <c r="Y171" s="33">
        <v>2.8E-3</v>
      </c>
      <c r="Z171" s="33">
        <v>2.3E-3</v>
      </c>
      <c r="AA171" s="33">
        <v>1.1999999999999999E-3</v>
      </c>
      <c r="AB171" s="25">
        <v>359</v>
      </c>
      <c r="AC171" s="25">
        <v>242</v>
      </c>
      <c r="AD171" s="25">
        <v>0</v>
      </c>
      <c r="AE171" s="25">
        <v>1</v>
      </c>
      <c r="AF171" s="25">
        <v>108</v>
      </c>
      <c r="AG171" s="25">
        <v>1</v>
      </c>
      <c r="AH171" s="25">
        <v>7</v>
      </c>
      <c r="AI171" s="12">
        <v>0.82</v>
      </c>
      <c r="AJ171" s="25">
        <v>540270</v>
      </c>
      <c r="AK171" s="25">
        <v>114227</v>
      </c>
      <c r="AL171" s="33">
        <v>0.2681</v>
      </c>
      <c r="AM171" s="3" t="s">
        <v>2905</v>
      </c>
      <c r="AN171" s="12" t="s">
        <v>793</v>
      </c>
      <c r="AO171" s="12" t="s">
        <v>793</v>
      </c>
      <c r="AP171" s="12" t="str">
        <f>"37677975314"</f>
        <v>37677975314</v>
      </c>
      <c r="AQ171" s="12" t="s">
        <v>794</v>
      </c>
      <c r="AR171" s="12" t="s">
        <v>2906</v>
      </c>
      <c r="AS171" s="12" t="s">
        <v>2907</v>
      </c>
      <c r="AT171" s="12" t="s">
        <v>6127</v>
      </c>
      <c r="AU171" s="12" t="s">
        <v>309</v>
      </c>
      <c r="AV171" s="12"/>
      <c r="AW171" s="12"/>
      <c r="AX171" s="12">
        <v>0</v>
      </c>
      <c r="AY171" s="12">
        <v>3732</v>
      </c>
      <c r="AZ171" s="12">
        <v>0</v>
      </c>
      <c r="BA171" s="12" t="s">
        <v>795</v>
      </c>
      <c r="BB171" s="12"/>
      <c r="BC171" s="12" t="s">
        <v>7121</v>
      </c>
      <c r="BD171" s="12"/>
      <c r="BE171" s="12" t="s">
        <v>2291</v>
      </c>
      <c r="BF171" s="12"/>
      <c r="BG171" s="12"/>
      <c r="BH171" s="12"/>
      <c r="BI171" s="12"/>
      <c r="BJ171" s="12"/>
      <c r="BK171" s="12"/>
      <c r="BL171" s="12" t="s">
        <v>2292</v>
      </c>
      <c r="BM171" s="12" t="s">
        <v>2292</v>
      </c>
      <c r="BN171" s="12" t="s">
        <v>2292</v>
      </c>
      <c r="BO171" s="12" t="s">
        <v>2292</v>
      </c>
      <c r="BP171" s="12"/>
      <c r="BQ171" s="12"/>
      <c r="BR171" s="12"/>
      <c r="BS171" s="12"/>
      <c r="BT171" s="12"/>
      <c r="BU171" s="12"/>
      <c r="BV171" s="12"/>
      <c r="BW171" s="12"/>
      <c r="BX171" s="12"/>
      <c r="BY171" s="13" t="s">
        <v>313</v>
      </c>
      <c r="BZ171" s="13" t="s">
        <v>312</v>
      </c>
      <c r="CA171" s="13"/>
      <c r="CB171" s="13"/>
      <c r="CC171" s="13"/>
      <c r="CD171" s="13"/>
      <c r="CE171" s="13"/>
      <c r="CF171" s="13"/>
    </row>
    <row r="172" spans="1:84" ht="18.600000000000001" customHeight="1" x14ac:dyDescent="0.25">
      <c r="A172" s="60" t="s">
        <v>63</v>
      </c>
      <c r="B172" s="2" t="s">
        <v>335</v>
      </c>
      <c r="C172" s="3" t="s">
        <v>2698</v>
      </c>
      <c r="D172" s="12" t="s">
        <v>4175</v>
      </c>
      <c r="E172" s="12" t="s">
        <v>797</v>
      </c>
      <c r="F172" s="12" t="s">
        <v>4176</v>
      </c>
      <c r="G172" s="25">
        <v>30304</v>
      </c>
      <c r="H172" s="25">
        <v>24522</v>
      </c>
      <c r="I172" s="25">
        <v>217</v>
      </c>
      <c r="J172" s="25">
        <v>5176</v>
      </c>
      <c r="K172" s="25">
        <v>2262</v>
      </c>
      <c r="L172" s="25">
        <v>6879</v>
      </c>
      <c r="M172" s="25">
        <v>9141</v>
      </c>
      <c r="N172" s="31">
        <v>0.25</v>
      </c>
      <c r="O172" s="25">
        <v>336</v>
      </c>
      <c r="P172" s="25">
        <v>0</v>
      </c>
      <c r="Q172" s="25">
        <v>286</v>
      </c>
      <c r="R172" s="25">
        <v>12</v>
      </c>
      <c r="S172" s="25">
        <v>3</v>
      </c>
      <c r="T172" s="25">
        <v>71</v>
      </c>
      <c r="U172" s="61">
        <v>17</v>
      </c>
      <c r="V172" s="58">
        <v>2.5000000000000001E-3</v>
      </c>
      <c r="W172" s="33">
        <v>3.0999999999999999E-3</v>
      </c>
      <c r="X172" s="33">
        <v>1.8E-3</v>
      </c>
      <c r="Y172" s="33">
        <v>2.5999999999999999E-3</v>
      </c>
      <c r="Z172" s="33">
        <v>3.8100000000000002E-2</v>
      </c>
      <c r="AA172" s="33">
        <v>2.5999999999999999E-3</v>
      </c>
      <c r="AB172" s="25">
        <v>1461</v>
      </c>
      <c r="AC172" s="25">
        <v>763</v>
      </c>
      <c r="AD172" s="25">
        <v>521</v>
      </c>
      <c r="AE172" s="25">
        <v>162</v>
      </c>
      <c r="AF172" s="25">
        <v>2</v>
      </c>
      <c r="AG172" s="25">
        <v>1</v>
      </c>
      <c r="AH172" s="25">
        <v>12</v>
      </c>
      <c r="AI172" s="12">
        <v>3.33</v>
      </c>
      <c r="AJ172" s="25">
        <v>8979</v>
      </c>
      <c r="AK172" s="25">
        <v>2595</v>
      </c>
      <c r="AL172" s="33">
        <v>0.40649999999999997</v>
      </c>
      <c r="AM172" s="3" t="s">
        <v>2698</v>
      </c>
      <c r="AN172" s="12" t="s">
        <v>797</v>
      </c>
      <c r="AO172" s="12" t="s">
        <v>797</v>
      </c>
      <c r="AP172" s="12" t="str">
        <f>"853918944626634"</f>
        <v>853918944626634</v>
      </c>
      <c r="AQ172" s="12" t="s">
        <v>4175</v>
      </c>
      <c r="AR172" s="12" t="s">
        <v>798</v>
      </c>
      <c r="AS172" s="12" t="s">
        <v>2699</v>
      </c>
      <c r="AT172" s="12"/>
      <c r="AU172" s="12" t="s">
        <v>324</v>
      </c>
      <c r="AV172" s="12" t="s">
        <v>5731</v>
      </c>
      <c r="AW172" s="12"/>
      <c r="AX172" s="12">
        <v>250</v>
      </c>
      <c r="AY172" s="12">
        <v>230</v>
      </c>
      <c r="AZ172" s="12">
        <v>250</v>
      </c>
      <c r="BA172" s="12" t="s">
        <v>799</v>
      </c>
      <c r="BB172" s="12" t="s">
        <v>6825</v>
      </c>
      <c r="BC172" s="12" t="s">
        <v>6826</v>
      </c>
      <c r="BD172" s="12"/>
      <c r="BE172" s="12" t="s">
        <v>2291</v>
      </c>
      <c r="BF172" s="12"/>
      <c r="BG172" s="12"/>
      <c r="BH172" s="12"/>
      <c r="BI172" s="12" t="s">
        <v>3618</v>
      </c>
      <c r="BJ172" s="12" t="s">
        <v>800</v>
      </c>
      <c r="BK172" s="12"/>
      <c r="BL172" s="12" t="s">
        <v>2292</v>
      </c>
      <c r="BM172" s="12" t="s">
        <v>2292</v>
      </c>
      <c r="BN172" s="12" t="s">
        <v>2292</v>
      </c>
      <c r="BO172" s="12" t="s">
        <v>2291</v>
      </c>
      <c r="BP172" s="12" t="s">
        <v>2700</v>
      </c>
      <c r="BQ172" s="12"/>
      <c r="BR172" s="12"/>
      <c r="BS172" s="12"/>
      <c r="BT172" s="12" t="s">
        <v>4977</v>
      </c>
      <c r="BU172" s="12" t="s">
        <v>326</v>
      </c>
      <c r="BV172" s="12"/>
      <c r="BW172" s="12" t="s">
        <v>801</v>
      </c>
      <c r="BX172" s="12"/>
      <c r="BY172" s="13" t="s">
        <v>313</v>
      </c>
      <c r="BZ172" s="13" t="s">
        <v>6174</v>
      </c>
      <c r="CA172" s="13" t="s">
        <v>6170</v>
      </c>
      <c r="CB172" s="13" t="s">
        <v>6197</v>
      </c>
      <c r="CC172" s="13"/>
      <c r="CD172" s="13" t="s">
        <v>6198</v>
      </c>
      <c r="CE172" s="13"/>
      <c r="CF172" s="13"/>
    </row>
    <row r="173" spans="1:84" ht="18.600000000000001" customHeight="1" x14ac:dyDescent="0.25">
      <c r="A173" s="60" t="s">
        <v>64</v>
      </c>
      <c r="B173" s="2" t="s">
        <v>315</v>
      </c>
      <c r="C173" s="3" t="s">
        <v>3714</v>
      </c>
      <c r="D173" s="12" t="s">
        <v>803</v>
      </c>
      <c r="E173" s="12" t="s">
        <v>3169</v>
      </c>
      <c r="F173" s="12" t="s">
        <v>4108</v>
      </c>
      <c r="G173" s="25">
        <v>6894</v>
      </c>
      <c r="H173" s="25">
        <v>5956</v>
      </c>
      <c r="I173" s="25">
        <v>266</v>
      </c>
      <c r="J173" s="25">
        <v>498</v>
      </c>
      <c r="K173" s="25">
        <v>6714</v>
      </c>
      <c r="L173" s="25">
        <v>362</v>
      </c>
      <c r="M173" s="25">
        <v>7076</v>
      </c>
      <c r="N173" s="31">
        <v>0.95</v>
      </c>
      <c r="O173" s="25">
        <v>0</v>
      </c>
      <c r="P173" s="25">
        <v>0</v>
      </c>
      <c r="Q173" s="25">
        <v>147</v>
      </c>
      <c r="R173" s="25">
        <v>15</v>
      </c>
      <c r="S173" s="25">
        <v>9</v>
      </c>
      <c r="T173" s="25">
        <v>2</v>
      </c>
      <c r="U173" s="61">
        <v>1</v>
      </c>
      <c r="V173" s="58">
        <v>2.0000000000000001E-4</v>
      </c>
      <c r="W173" s="33">
        <v>2.0000000000000001E-4</v>
      </c>
      <c r="X173" s="33">
        <v>1E-4</v>
      </c>
      <c r="Y173" s="33">
        <v>1E-4</v>
      </c>
      <c r="Z173" s="33">
        <v>4.0000000000000002E-4</v>
      </c>
      <c r="AA173" s="33">
        <v>1E-4</v>
      </c>
      <c r="AB173" s="25">
        <v>735</v>
      </c>
      <c r="AC173" s="25">
        <v>524</v>
      </c>
      <c r="AD173" s="25">
        <v>162</v>
      </c>
      <c r="AE173" s="25">
        <v>5</v>
      </c>
      <c r="AF173" s="25">
        <v>31</v>
      </c>
      <c r="AG173" s="25">
        <v>0</v>
      </c>
      <c r="AH173" s="25">
        <v>13</v>
      </c>
      <c r="AI173" s="12">
        <v>1.67</v>
      </c>
      <c r="AJ173" s="25">
        <v>49800</v>
      </c>
      <c r="AK173" s="25">
        <v>11544</v>
      </c>
      <c r="AL173" s="33">
        <v>0.30180000000000001</v>
      </c>
      <c r="AM173" s="3" t="s">
        <v>3714</v>
      </c>
      <c r="AN173" s="12" t="s">
        <v>3169</v>
      </c>
      <c r="AO173" s="12" t="s">
        <v>3169</v>
      </c>
      <c r="AP173" s="12" t="str">
        <f>"152559474759057"</f>
        <v>152559474759057</v>
      </c>
      <c r="AQ173" s="12" t="s">
        <v>803</v>
      </c>
      <c r="AR173" s="12" t="s">
        <v>3231</v>
      </c>
      <c r="AS173" s="12" t="s">
        <v>3232</v>
      </c>
      <c r="AT173" s="12"/>
      <c r="AU173" s="12" t="s">
        <v>324</v>
      </c>
      <c r="AV173" s="12"/>
      <c r="AW173" s="12"/>
      <c r="AX173" s="12">
        <v>0</v>
      </c>
      <c r="AY173" s="12">
        <v>480</v>
      </c>
      <c r="AZ173" s="12">
        <v>0</v>
      </c>
      <c r="BA173" s="12" t="s">
        <v>3233</v>
      </c>
      <c r="BB173" s="12" t="s">
        <v>5845</v>
      </c>
      <c r="BC173" s="12" t="s">
        <v>6663</v>
      </c>
      <c r="BD173" s="12"/>
      <c r="BE173" s="12" t="s">
        <v>2291</v>
      </c>
      <c r="BF173" s="12"/>
      <c r="BG173" s="12"/>
      <c r="BH173" s="12"/>
      <c r="BI173" s="12" t="s">
        <v>3234</v>
      </c>
      <c r="BJ173" s="12" t="s">
        <v>4960</v>
      </c>
      <c r="BK173" s="12" t="s">
        <v>6664</v>
      </c>
      <c r="BL173" s="12" t="s">
        <v>2292</v>
      </c>
      <c r="BM173" s="12" t="s">
        <v>2292</v>
      </c>
      <c r="BN173" s="12" t="s">
        <v>2292</v>
      </c>
      <c r="BO173" s="12" t="s">
        <v>2292</v>
      </c>
      <c r="BP173" s="12"/>
      <c r="BQ173" s="12"/>
      <c r="BR173" s="12"/>
      <c r="BS173" s="12"/>
      <c r="BT173" s="12" t="s">
        <v>2452</v>
      </c>
      <c r="BU173" s="12"/>
      <c r="BV173" s="12"/>
      <c r="BW173" s="12" t="s">
        <v>804</v>
      </c>
      <c r="BX173" s="12"/>
      <c r="BY173" s="13" t="s">
        <v>313</v>
      </c>
      <c r="BZ173" s="13" t="s">
        <v>6181</v>
      </c>
      <c r="CA173" s="13" t="s">
        <v>6170</v>
      </c>
      <c r="CB173" s="13" t="s">
        <v>6197</v>
      </c>
      <c r="CC173" s="13"/>
      <c r="CD173" s="13" t="s">
        <v>6198</v>
      </c>
      <c r="CE173" s="13"/>
      <c r="CF173" s="13" t="s">
        <v>6178</v>
      </c>
    </row>
    <row r="174" spans="1:84" ht="18.600000000000001" customHeight="1" x14ac:dyDescent="0.25">
      <c r="A174" s="35" t="s">
        <v>115</v>
      </c>
      <c r="B174" s="13" t="s">
        <v>315</v>
      </c>
      <c r="C174" s="3" t="s">
        <v>2293</v>
      </c>
      <c r="D174" s="12" t="s">
        <v>3393</v>
      </c>
      <c r="E174" s="12" t="s">
        <v>805</v>
      </c>
      <c r="F174" s="12" t="s">
        <v>3923</v>
      </c>
      <c r="G174" s="25">
        <v>2678420</v>
      </c>
      <c r="H174" s="25">
        <v>2528674</v>
      </c>
      <c r="I174" s="25">
        <v>28951</v>
      </c>
      <c r="J174" s="25">
        <v>90468</v>
      </c>
      <c r="K174" s="25">
        <v>2344652</v>
      </c>
      <c r="L174" s="25">
        <v>413595</v>
      </c>
      <c r="M174" s="25">
        <v>2758247</v>
      </c>
      <c r="N174" s="31">
        <v>0.85</v>
      </c>
      <c r="O174" s="25">
        <v>166012</v>
      </c>
      <c r="P174" s="25">
        <v>125987</v>
      </c>
      <c r="Q174" s="25">
        <v>19073</v>
      </c>
      <c r="R174" s="25">
        <v>5819</v>
      </c>
      <c r="S174" s="25">
        <v>2745</v>
      </c>
      <c r="T174" s="25">
        <v>2190</v>
      </c>
      <c r="U174" s="61">
        <v>366</v>
      </c>
      <c r="V174" s="58">
        <v>4.3E-3</v>
      </c>
      <c r="W174" s="33">
        <v>5.7999999999999996E-3</v>
      </c>
      <c r="X174" s="33">
        <v>1.4E-3</v>
      </c>
      <c r="Y174" s="33">
        <v>5.0000000000000001E-4</v>
      </c>
      <c r="Z174" s="33">
        <v>1.5E-3</v>
      </c>
      <c r="AA174" s="33">
        <v>3.7000000000000002E-3</v>
      </c>
      <c r="AB174" s="25">
        <v>913</v>
      </c>
      <c r="AC174" s="25">
        <v>660</v>
      </c>
      <c r="AD174" s="25">
        <v>40</v>
      </c>
      <c r="AE174" s="25">
        <v>12</v>
      </c>
      <c r="AF174" s="25">
        <v>140</v>
      </c>
      <c r="AG174" s="25">
        <v>56</v>
      </c>
      <c r="AH174" s="25">
        <v>5</v>
      </c>
      <c r="AI174" s="12">
        <v>2.08</v>
      </c>
      <c r="AJ174" s="25">
        <v>763952</v>
      </c>
      <c r="AK174" s="25">
        <v>225113</v>
      </c>
      <c r="AL174" s="33">
        <v>0.4178</v>
      </c>
      <c r="AM174" s="3" t="s">
        <v>2293</v>
      </c>
      <c r="AN174" s="12" t="s">
        <v>805</v>
      </c>
      <c r="AO174" s="12" t="s">
        <v>805</v>
      </c>
      <c r="AP174" s="12" t="str">
        <f>"362213890520498"</f>
        <v>362213890520498</v>
      </c>
      <c r="AQ174" s="12" t="s">
        <v>3393</v>
      </c>
      <c r="AR174" s="12" t="s">
        <v>806</v>
      </c>
      <c r="AS174" s="12" t="s">
        <v>807</v>
      </c>
      <c r="AT174" s="12"/>
      <c r="AU174" s="12" t="s">
        <v>324</v>
      </c>
      <c r="AV174" s="12"/>
      <c r="AW174" s="12"/>
      <c r="AX174" s="12">
        <v>0</v>
      </c>
      <c r="AY174" s="12">
        <v>4460</v>
      </c>
      <c r="AZ174" s="12">
        <v>0</v>
      </c>
      <c r="BA174" s="12" t="s">
        <v>808</v>
      </c>
      <c r="BB174" s="12" t="s">
        <v>6254</v>
      </c>
      <c r="BC174" s="12" t="s">
        <v>6255</v>
      </c>
      <c r="BD174" s="12"/>
      <c r="BE174" s="12" t="s">
        <v>2291</v>
      </c>
      <c r="BF174" s="12"/>
      <c r="BG174" s="12"/>
      <c r="BH174" s="12"/>
      <c r="BI174" s="12" t="s">
        <v>2294</v>
      </c>
      <c r="BJ174" s="12" t="s">
        <v>809</v>
      </c>
      <c r="BK174" s="12"/>
      <c r="BL174" s="12" t="s">
        <v>2292</v>
      </c>
      <c r="BM174" s="12" t="s">
        <v>2292</v>
      </c>
      <c r="BN174" s="12" t="s">
        <v>2292</v>
      </c>
      <c r="BO174" s="12" t="s">
        <v>2291</v>
      </c>
      <c r="BP174" s="12"/>
      <c r="BQ174" s="12"/>
      <c r="BR174" s="12"/>
      <c r="BS174" s="12"/>
      <c r="BT174" s="12"/>
      <c r="BU174" s="12"/>
      <c r="BV174" s="12"/>
      <c r="BW174" s="12" t="s">
        <v>810</v>
      </c>
      <c r="BX174" s="12"/>
      <c r="BY174" s="13" t="s">
        <v>313</v>
      </c>
      <c r="BZ174" s="13" t="s">
        <v>6173</v>
      </c>
      <c r="CA174" s="13" t="s">
        <v>6170</v>
      </c>
      <c r="CB174" s="13" t="s">
        <v>312</v>
      </c>
      <c r="CC174" s="13"/>
      <c r="CD174" s="13" t="s">
        <v>6198</v>
      </c>
      <c r="CE174" s="13" t="s">
        <v>6175</v>
      </c>
      <c r="CF174" s="13" t="s">
        <v>6178</v>
      </c>
    </row>
    <row r="175" spans="1:84" ht="18.600000000000001" customHeight="1" x14ac:dyDescent="0.25">
      <c r="A175" s="60" t="s">
        <v>115</v>
      </c>
      <c r="B175" s="2" t="s">
        <v>335</v>
      </c>
      <c r="C175" s="3" t="s">
        <v>2779</v>
      </c>
      <c r="D175" s="12" t="s">
        <v>2780</v>
      </c>
      <c r="E175" s="12" t="s">
        <v>811</v>
      </c>
      <c r="F175" s="12" t="s">
        <v>4214</v>
      </c>
      <c r="G175" s="25">
        <v>2714</v>
      </c>
      <c r="H175" s="25">
        <v>2454</v>
      </c>
      <c r="I175" s="25">
        <v>83</v>
      </c>
      <c r="J175" s="25">
        <v>104</v>
      </c>
      <c r="K175" s="25">
        <v>0</v>
      </c>
      <c r="L175" s="25">
        <v>0</v>
      </c>
      <c r="M175" s="25">
        <v>0</v>
      </c>
      <c r="N175" s="31">
        <v>0</v>
      </c>
      <c r="O175" s="25">
        <v>441</v>
      </c>
      <c r="P175" s="25">
        <v>0</v>
      </c>
      <c r="Q175" s="25">
        <v>17</v>
      </c>
      <c r="R175" s="25">
        <v>8</v>
      </c>
      <c r="S175" s="25">
        <v>0</v>
      </c>
      <c r="T175" s="25">
        <v>48</v>
      </c>
      <c r="U175" s="61">
        <v>0</v>
      </c>
      <c r="V175" s="58">
        <v>4.7000000000000002E-3</v>
      </c>
      <c r="W175" s="33">
        <v>7.9000000000000008E-3</v>
      </c>
      <c r="X175" s="33">
        <v>6.6E-3</v>
      </c>
      <c r="Y175" s="33">
        <v>4.8999999999999998E-3</v>
      </c>
      <c r="Z175" s="12" t="s">
        <v>3926</v>
      </c>
      <c r="AA175" s="33">
        <v>3.3999999999999998E-3</v>
      </c>
      <c r="AB175" s="25">
        <v>27</v>
      </c>
      <c r="AC175" s="25">
        <v>6</v>
      </c>
      <c r="AD175" s="25">
        <v>18</v>
      </c>
      <c r="AE175" s="25">
        <v>1</v>
      </c>
      <c r="AF175" s="25">
        <v>0</v>
      </c>
      <c r="AG175" s="25">
        <v>1</v>
      </c>
      <c r="AH175" s="25">
        <v>1</v>
      </c>
      <c r="AI175" s="12">
        <v>0.06</v>
      </c>
      <c r="AJ175" s="25">
        <v>26452</v>
      </c>
      <c r="AK175" s="25">
        <v>13811</v>
      </c>
      <c r="AL175" s="33">
        <v>1.0926</v>
      </c>
      <c r="AM175" s="3" t="s">
        <v>2779</v>
      </c>
      <c r="AN175" s="12" t="s">
        <v>811</v>
      </c>
      <c r="AO175" s="12" t="s">
        <v>811</v>
      </c>
      <c r="AP175" s="12" t="str">
        <f>"377893012417309"</f>
        <v>377893012417309</v>
      </c>
      <c r="AQ175" s="12" t="s">
        <v>2780</v>
      </c>
      <c r="AR175" s="12" t="s">
        <v>3840</v>
      </c>
      <c r="AS175" s="12"/>
      <c r="AT175" s="12"/>
      <c r="AU175" s="12" t="s">
        <v>324</v>
      </c>
      <c r="AV175" s="12" t="s">
        <v>5926</v>
      </c>
      <c r="AW175" s="12"/>
      <c r="AX175" s="12">
        <v>7087</v>
      </c>
      <c r="AY175" s="12">
        <v>95</v>
      </c>
      <c r="AZ175" s="12">
        <v>0</v>
      </c>
      <c r="BA175" s="12" t="s">
        <v>812</v>
      </c>
      <c r="BB175" s="12" t="s">
        <v>6935</v>
      </c>
      <c r="BC175" s="12" t="s">
        <v>6936</v>
      </c>
      <c r="BD175" s="12"/>
      <c r="BE175" s="12" t="s">
        <v>2291</v>
      </c>
      <c r="BF175" s="12"/>
      <c r="BG175" s="12"/>
      <c r="BH175" s="12"/>
      <c r="BI175" s="12" t="s">
        <v>2781</v>
      </c>
      <c r="BJ175" s="12"/>
      <c r="BK175" s="12"/>
      <c r="BL175" s="12" t="s">
        <v>2292</v>
      </c>
      <c r="BM175" s="12" t="s">
        <v>2292</v>
      </c>
      <c r="BN175" s="12" t="s">
        <v>2292</v>
      </c>
      <c r="BO175" s="12" t="s">
        <v>2292</v>
      </c>
      <c r="BP175" s="12"/>
      <c r="BQ175" s="12"/>
      <c r="BR175" s="12"/>
      <c r="BS175" s="12"/>
      <c r="BT175" s="12">
        <v>29562852</v>
      </c>
      <c r="BU175" s="12" t="s">
        <v>326</v>
      </c>
      <c r="BV175" s="12"/>
      <c r="BW175" s="12" t="s">
        <v>4606</v>
      </c>
      <c r="BX175" s="12"/>
      <c r="BY175" s="13" t="s">
        <v>313</v>
      </c>
      <c r="BZ175" s="13" t="s">
        <v>6172</v>
      </c>
      <c r="CA175" s="13"/>
      <c r="CB175" s="13"/>
      <c r="CC175" s="13"/>
      <c r="CD175" s="13"/>
      <c r="CE175" s="13"/>
      <c r="CF175" s="13"/>
    </row>
    <row r="176" spans="1:84" ht="18.600000000000001" customHeight="1" x14ac:dyDescent="0.25">
      <c r="A176" s="35" t="s">
        <v>115</v>
      </c>
      <c r="B176" s="2" t="s">
        <v>5067</v>
      </c>
      <c r="C176" s="10" t="s">
        <v>5203</v>
      </c>
      <c r="D176" s="12" t="s">
        <v>5156</v>
      </c>
      <c r="E176" s="12" t="s">
        <v>5157</v>
      </c>
      <c r="F176" s="12" t="s">
        <v>5158</v>
      </c>
      <c r="G176" s="25">
        <v>3137460</v>
      </c>
      <c r="H176" s="25">
        <v>2874398</v>
      </c>
      <c r="I176" s="25">
        <v>56583</v>
      </c>
      <c r="J176" s="25">
        <v>113504</v>
      </c>
      <c r="K176" s="25">
        <v>130261</v>
      </c>
      <c r="L176" s="25">
        <v>4758</v>
      </c>
      <c r="M176" s="25">
        <v>135019</v>
      </c>
      <c r="N176" s="31">
        <v>0.96</v>
      </c>
      <c r="O176" s="25">
        <v>64587</v>
      </c>
      <c r="P176" s="25">
        <v>0</v>
      </c>
      <c r="Q176" s="25">
        <v>52725</v>
      </c>
      <c r="R176" s="25">
        <v>11849</v>
      </c>
      <c r="S176" s="25">
        <v>10106</v>
      </c>
      <c r="T176" s="25">
        <v>15653</v>
      </c>
      <c r="U176" s="61">
        <v>2279</v>
      </c>
      <c r="V176" s="58">
        <v>6.7000000000000002E-3</v>
      </c>
      <c r="W176" s="33">
        <v>8.6999999999999994E-3</v>
      </c>
      <c r="X176" s="33">
        <v>4.8999999999999998E-3</v>
      </c>
      <c r="Y176" s="33">
        <v>6.1000000000000004E-3</v>
      </c>
      <c r="Z176" s="33">
        <v>2.3999999999999998E-3</v>
      </c>
      <c r="AA176" s="33">
        <v>1.6000000000000001E-3</v>
      </c>
      <c r="AB176" s="25">
        <v>515</v>
      </c>
      <c r="AC176" s="25">
        <v>286</v>
      </c>
      <c r="AD176" s="25">
        <v>122</v>
      </c>
      <c r="AE176" s="25">
        <v>86</v>
      </c>
      <c r="AF176" s="25">
        <v>7</v>
      </c>
      <c r="AG176" s="25">
        <v>7</v>
      </c>
      <c r="AH176" s="25">
        <v>7</v>
      </c>
      <c r="AI176" s="12">
        <v>1.17</v>
      </c>
      <c r="AJ176" s="25">
        <v>945031</v>
      </c>
      <c r="AK176" s="25">
        <v>180795</v>
      </c>
      <c r="AL176" s="33">
        <v>0.2366</v>
      </c>
      <c r="AM176" s="10" t="s">
        <v>5203</v>
      </c>
      <c r="AN176" s="12" t="s">
        <v>5157</v>
      </c>
      <c r="AO176" s="12" t="s">
        <v>5157</v>
      </c>
      <c r="AP176" s="12" t="str">
        <f>"227184710807057"</f>
        <v>227184710807057</v>
      </c>
      <c r="AQ176" s="12" t="s">
        <v>5156</v>
      </c>
      <c r="AR176" s="12" t="s">
        <v>5456</v>
      </c>
      <c r="AS176" s="12" t="s">
        <v>5457</v>
      </c>
      <c r="AT176" s="12"/>
      <c r="AU176" s="12" t="s">
        <v>309</v>
      </c>
      <c r="AV176" s="12"/>
      <c r="AW176" s="12"/>
      <c r="AX176" s="12">
        <v>0</v>
      </c>
      <c r="AY176" s="12">
        <v>11252</v>
      </c>
      <c r="AZ176" s="12">
        <v>0</v>
      </c>
      <c r="BA176" s="12" t="s">
        <v>5458</v>
      </c>
      <c r="BB176" s="12" t="s">
        <v>7229</v>
      </c>
      <c r="BC176" s="12" t="s">
        <v>7230</v>
      </c>
      <c r="BD176" s="12"/>
      <c r="BE176" s="12" t="s">
        <v>2291</v>
      </c>
      <c r="BF176" s="12"/>
      <c r="BG176" s="12"/>
      <c r="BH176" s="12"/>
      <c r="BI176" s="12"/>
      <c r="BJ176" s="12"/>
      <c r="BK176" s="12"/>
      <c r="BL176" s="12" t="s">
        <v>2292</v>
      </c>
      <c r="BM176" s="12" t="s">
        <v>2292</v>
      </c>
      <c r="BN176" s="12" t="s">
        <v>2292</v>
      </c>
      <c r="BO176" s="12" t="s">
        <v>2291</v>
      </c>
      <c r="BP176" s="12"/>
      <c r="BQ176" s="12"/>
      <c r="BR176" s="12"/>
      <c r="BS176" s="12" t="s">
        <v>5459</v>
      </c>
      <c r="BT176" s="12"/>
      <c r="BU176" s="12"/>
      <c r="BV176" s="12"/>
      <c r="BW176" s="12" t="s">
        <v>5460</v>
      </c>
      <c r="BX176" s="12"/>
      <c r="BY176" s="13" t="s">
        <v>313</v>
      </c>
      <c r="BZ176" s="13" t="s">
        <v>312</v>
      </c>
      <c r="CA176" s="13"/>
      <c r="CB176" s="13"/>
      <c r="CC176" s="13"/>
      <c r="CD176" s="13"/>
      <c r="CE176" s="13"/>
      <c r="CF176" s="13"/>
    </row>
    <row r="177" spans="1:84" ht="18.600000000000001" customHeight="1" x14ac:dyDescent="0.25">
      <c r="A177" s="60" t="s">
        <v>65</v>
      </c>
      <c r="B177" s="2" t="s">
        <v>817</v>
      </c>
      <c r="C177" s="3" t="s">
        <v>2646</v>
      </c>
      <c r="D177" s="12" t="s">
        <v>814</v>
      </c>
      <c r="E177" s="12" t="s">
        <v>813</v>
      </c>
      <c r="F177" s="12" t="s">
        <v>4137</v>
      </c>
      <c r="G177" s="25">
        <v>1338771</v>
      </c>
      <c r="H177" s="25">
        <v>1068686</v>
      </c>
      <c r="I177" s="25">
        <v>44174</v>
      </c>
      <c r="J177" s="25">
        <v>92907</v>
      </c>
      <c r="K177" s="25">
        <v>516566</v>
      </c>
      <c r="L177" s="25">
        <v>1203641</v>
      </c>
      <c r="M177" s="25">
        <v>1720207</v>
      </c>
      <c r="N177" s="31">
        <v>0.3</v>
      </c>
      <c r="O177" s="25">
        <v>0</v>
      </c>
      <c r="P177" s="25">
        <v>847187</v>
      </c>
      <c r="Q177" s="25">
        <v>114138</v>
      </c>
      <c r="R177" s="25">
        <v>4391</v>
      </c>
      <c r="S177" s="25">
        <v>564</v>
      </c>
      <c r="T177" s="25">
        <v>13705</v>
      </c>
      <c r="U177" s="61">
        <v>157</v>
      </c>
      <c r="V177" s="58">
        <v>2.53E-2</v>
      </c>
      <c r="W177" s="33">
        <v>2.4E-2</v>
      </c>
      <c r="X177" s="33">
        <v>1.8499999999999999E-2</v>
      </c>
      <c r="Y177" s="33">
        <v>8.8000000000000005E-3</v>
      </c>
      <c r="Z177" s="33">
        <v>7.5600000000000001E-2</v>
      </c>
      <c r="AA177" s="12" t="s">
        <v>3926</v>
      </c>
      <c r="AB177" s="25">
        <v>104</v>
      </c>
      <c r="AC177" s="25">
        <v>83</v>
      </c>
      <c r="AD177" s="25">
        <v>16</v>
      </c>
      <c r="AE177" s="25">
        <v>1</v>
      </c>
      <c r="AF177" s="25">
        <v>4</v>
      </c>
      <c r="AG177" s="25">
        <v>0</v>
      </c>
      <c r="AH177" s="25">
        <v>0</v>
      </c>
      <c r="AI177" s="12">
        <v>0.24</v>
      </c>
      <c r="AJ177" s="25">
        <v>546996</v>
      </c>
      <c r="AK177" s="25">
        <v>60550</v>
      </c>
      <c r="AL177" s="33">
        <v>0.1245</v>
      </c>
      <c r="AM177" s="3" t="s">
        <v>2646</v>
      </c>
      <c r="AN177" s="12" t="s">
        <v>813</v>
      </c>
      <c r="AO177" s="12" t="s">
        <v>813</v>
      </c>
      <c r="AP177" s="12" t="str">
        <f>"43817623259"</f>
        <v>43817623259</v>
      </c>
      <c r="AQ177" s="12" t="s">
        <v>814</v>
      </c>
      <c r="AR177" s="12"/>
      <c r="AS177" s="12" t="s">
        <v>3594</v>
      </c>
      <c r="AT177" s="12" t="s">
        <v>4796</v>
      </c>
      <c r="AU177" s="12" t="s">
        <v>815</v>
      </c>
      <c r="AV177" s="12"/>
      <c r="AW177" s="12"/>
      <c r="AX177" s="12">
        <v>0</v>
      </c>
      <c r="AY177" s="12">
        <v>17372</v>
      </c>
      <c r="AZ177" s="12">
        <v>0</v>
      </c>
      <c r="BA177" s="12" t="s">
        <v>816</v>
      </c>
      <c r="BB177" s="12"/>
      <c r="BC177" s="12" t="s">
        <v>6743</v>
      </c>
      <c r="BD177" s="12"/>
      <c r="BE177" s="12" t="s">
        <v>2291</v>
      </c>
      <c r="BF177" s="12"/>
      <c r="BG177" s="12"/>
      <c r="BH177" s="12"/>
      <c r="BI177" s="12"/>
      <c r="BJ177" s="12"/>
      <c r="BK177" s="12"/>
      <c r="BL177" s="12" t="s">
        <v>2292</v>
      </c>
      <c r="BM177" s="12" t="s">
        <v>2292</v>
      </c>
      <c r="BN177" s="12" t="s">
        <v>2292</v>
      </c>
      <c r="BO177" s="12" t="s">
        <v>2291</v>
      </c>
      <c r="BP177" s="12"/>
      <c r="BQ177" s="12"/>
      <c r="BR177" s="12" t="s">
        <v>2647</v>
      </c>
      <c r="BS177" s="12" t="s">
        <v>3595</v>
      </c>
      <c r="BT177" s="12"/>
      <c r="BU177" s="12"/>
      <c r="BV177" s="12"/>
      <c r="BW177" s="12"/>
      <c r="BX177" s="12"/>
      <c r="BY177" s="13" t="s">
        <v>313</v>
      </c>
      <c r="BZ177" s="13" t="s">
        <v>312</v>
      </c>
      <c r="CA177" s="13"/>
      <c r="CB177" s="13"/>
      <c r="CC177" s="13"/>
      <c r="CD177" s="13"/>
      <c r="CE177" s="13"/>
      <c r="CF177" s="13"/>
    </row>
    <row r="178" spans="1:84" ht="18.600000000000001" customHeight="1" x14ac:dyDescent="0.25">
      <c r="A178" s="60" t="s">
        <v>65</v>
      </c>
      <c r="B178" s="2" t="s">
        <v>822</v>
      </c>
      <c r="C178" s="3" t="s">
        <v>3032</v>
      </c>
      <c r="D178" s="12" t="s">
        <v>818</v>
      </c>
      <c r="E178" s="12" t="s">
        <v>66</v>
      </c>
      <c r="F178" s="12" t="s">
        <v>4388</v>
      </c>
      <c r="G178" s="25">
        <v>935110</v>
      </c>
      <c r="H178" s="25">
        <v>874256</v>
      </c>
      <c r="I178" s="25">
        <v>11645</v>
      </c>
      <c r="J178" s="25">
        <v>25264</v>
      </c>
      <c r="K178" s="25">
        <v>157227</v>
      </c>
      <c r="L178" s="25">
        <v>260621</v>
      </c>
      <c r="M178" s="25">
        <v>417848</v>
      </c>
      <c r="N178" s="31">
        <v>0.38</v>
      </c>
      <c r="O178" s="25">
        <v>3082</v>
      </c>
      <c r="P178" s="25">
        <v>0</v>
      </c>
      <c r="Q178" s="25">
        <v>16936</v>
      </c>
      <c r="R178" s="25">
        <v>5168</v>
      </c>
      <c r="S178" s="25">
        <v>491</v>
      </c>
      <c r="T178" s="25">
        <v>1126</v>
      </c>
      <c r="U178" s="61">
        <v>97</v>
      </c>
      <c r="V178" s="58">
        <v>9.4999999999999998E-3</v>
      </c>
      <c r="W178" s="33">
        <v>9.7000000000000003E-3</v>
      </c>
      <c r="X178" s="33">
        <v>5.7000000000000002E-3</v>
      </c>
      <c r="Y178" s="33">
        <v>6.8999999999999999E-3</v>
      </c>
      <c r="Z178" s="33">
        <v>1.06E-2</v>
      </c>
      <c r="AA178" s="33">
        <v>8.0000000000000002E-3</v>
      </c>
      <c r="AB178" s="25">
        <v>609</v>
      </c>
      <c r="AC178" s="25">
        <v>572</v>
      </c>
      <c r="AD178" s="25">
        <v>12</v>
      </c>
      <c r="AE178" s="25">
        <v>9</v>
      </c>
      <c r="AF178" s="25">
        <v>13</v>
      </c>
      <c r="AG178" s="25">
        <v>1</v>
      </c>
      <c r="AH178" s="25">
        <v>2</v>
      </c>
      <c r="AI178" s="12">
        <v>1.39</v>
      </c>
      <c r="AJ178" s="25">
        <v>173988</v>
      </c>
      <c r="AK178" s="25">
        <v>26161</v>
      </c>
      <c r="AL178" s="33">
        <v>0.17699999999999999</v>
      </c>
      <c r="AM178" s="3" t="s">
        <v>3032</v>
      </c>
      <c r="AN178" s="12" t="s">
        <v>66</v>
      </c>
      <c r="AO178" s="12" t="s">
        <v>66</v>
      </c>
      <c r="AP178" s="12" t="str">
        <f>"213963285282972"</f>
        <v>213963285282972</v>
      </c>
      <c r="AQ178" s="12" t="s">
        <v>818</v>
      </c>
      <c r="AR178" s="12" t="s">
        <v>819</v>
      </c>
      <c r="AS178" s="12" t="s">
        <v>3033</v>
      </c>
      <c r="AT178" s="12"/>
      <c r="AU178" s="12" t="s">
        <v>309</v>
      </c>
      <c r="AV178" s="12"/>
      <c r="AW178" s="12"/>
      <c r="AX178" s="12">
        <v>0</v>
      </c>
      <c r="AY178" s="12">
        <v>3982</v>
      </c>
      <c r="AZ178" s="12">
        <v>0</v>
      </c>
      <c r="BA178" s="12" t="s">
        <v>820</v>
      </c>
      <c r="BB178" s="12" t="s">
        <v>7304</v>
      </c>
      <c r="BC178" s="12" t="s">
        <v>7305</v>
      </c>
      <c r="BD178" s="12"/>
      <c r="BE178" s="12" t="s">
        <v>2291</v>
      </c>
      <c r="BF178" s="12"/>
      <c r="BG178" s="12"/>
      <c r="BH178" s="12"/>
      <c r="BI178" s="12"/>
      <c r="BJ178" s="12"/>
      <c r="BK178" s="12"/>
      <c r="BL178" s="12" t="s">
        <v>2292</v>
      </c>
      <c r="BM178" s="12" t="s">
        <v>2292</v>
      </c>
      <c r="BN178" s="12" t="s">
        <v>2292</v>
      </c>
      <c r="BO178" s="12" t="s">
        <v>2291</v>
      </c>
      <c r="BP178" s="12"/>
      <c r="BQ178" s="12"/>
      <c r="BR178" s="12"/>
      <c r="BS178" s="12"/>
      <c r="BT178" s="12" t="s">
        <v>3034</v>
      </c>
      <c r="BU178" s="12"/>
      <c r="BV178" s="12"/>
      <c r="BW178" s="12" t="s">
        <v>821</v>
      </c>
      <c r="BX178" s="12"/>
      <c r="BY178" s="13" t="s">
        <v>313</v>
      </c>
      <c r="BZ178" s="13" t="s">
        <v>6172</v>
      </c>
      <c r="CA178" s="13"/>
      <c r="CB178" s="13"/>
      <c r="CC178" s="13"/>
      <c r="CD178" s="13"/>
      <c r="CE178" s="13"/>
      <c r="CF178" s="13"/>
    </row>
    <row r="179" spans="1:84" ht="18.600000000000001" customHeight="1" x14ac:dyDescent="0.25">
      <c r="A179" s="60" t="s">
        <v>65</v>
      </c>
      <c r="B179" s="2" t="s">
        <v>822</v>
      </c>
      <c r="C179" s="3" t="s">
        <v>5687</v>
      </c>
      <c r="D179" s="12" t="s">
        <v>5664</v>
      </c>
      <c r="E179" s="12" t="s">
        <v>834</v>
      </c>
      <c r="F179" s="12" t="s">
        <v>4268</v>
      </c>
      <c r="G179" s="25">
        <v>279253</v>
      </c>
      <c r="H179" s="25">
        <v>266452</v>
      </c>
      <c r="I179" s="25">
        <v>2666</v>
      </c>
      <c r="J179" s="25">
        <v>5643</v>
      </c>
      <c r="K179" s="25">
        <v>3134</v>
      </c>
      <c r="L179" s="25">
        <v>2865</v>
      </c>
      <c r="M179" s="25">
        <v>5999</v>
      </c>
      <c r="N179" s="31">
        <v>0.52</v>
      </c>
      <c r="O179" s="25">
        <v>13761</v>
      </c>
      <c r="P179" s="25">
        <v>0</v>
      </c>
      <c r="Q179" s="25">
        <v>3160</v>
      </c>
      <c r="R179" s="25">
        <v>947</v>
      </c>
      <c r="S179" s="25">
        <v>104</v>
      </c>
      <c r="T179" s="25">
        <v>240</v>
      </c>
      <c r="U179" s="61">
        <v>40</v>
      </c>
      <c r="V179" s="58">
        <v>1.01E-2</v>
      </c>
      <c r="W179" s="33">
        <v>1.06E-2</v>
      </c>
      <c r="X179" s="33">
        <v>2.5000000000000001E-3</v>
      </c>
      <c r="Y179" s="33">
        <v>1.47E-2</v>
      </c>
      <c r="Z179" s="33">
        <v>4.5999999999999999E-3</v>
      </c>
      <c r="AA179" s="33">
        <v>3.0999999999999999E-3</v>
      </c>
      <c r="AB179" s="25">
        <v>454</v>
      </c>
      <c r="AC179" s="25">
        <v>420</v>
      </c>
      <c r="AD179" s="25">
        <v>5</v>
      </c>
      <c r="AE179" s="25">
        <v>16</v>
      </c>
      <c r="AF179" s="25">
        <v>3</v>
      </c>
      <c r="AG179" s="25">
        <v>4</v>
      </c>
      <c r="AH179" s="25">
        <v>6</v>
      </c>
      <c r="AI179" s="12">
        <v>1.03</v>
      </c>
      <c r="AJ179" s="25">
        <v>65983</v>
      </c>
      <c r="AK179" s="25">
        <v>15238</v>
      </c>
      <c r="AL179" s="33">
        <v>0.30030000000000001</v>
      </c>
      <c r="AM179" s="3" t="s">
        <v>5687</v>
      </c>
      <c r="AN179" s="12" t="s">
        <v>834</v>
      </c>
      <c r="AO179" s="12" t="s">
        <v>834</v>
      </c>
      <c r="AP179" s="12" t="str">
        <f>"410112025768173"</f>
        <v>410112025768173</v>
      </c>
      <c r="AQ179" s="12" t="s">
        <v>5664</v>
      </c>
      <c r="AR179" s="12" t="s">
        <v>823</v>
      </c>
      <c r="AS179" s="12" t="s">
        <v>5413</v>
      </c>
      <c r="AT179" s="12" t="s">
        <v>5966</v>
      </c>
      <c r="AU179" s="12" t="s">
        <v>309</v>
      </c>
      <c r="AV179" s="12"/>
      <c r="AW179" s="12"/>
      <c r="AX179" s="12">
        <v>0</v>
      </c>
      <c r="AY179" s="12">
        <v>2049</v>
      </c>
      <c r="AZ179" s="12">
        <v>0</v>
      </c>
      <c r="BA179" s="12" t="s">
        <v>5967</v>
      </c>
      <c r="BB179" s="12" t="s">
        <v>5968</v>
      </c>
      <c r="BC179" s="12" t="s">
        <v>7041</v>
      </c>
      <c r="BD179" s="12"/>
      <c r="BE179" s="12" t="s">
        <v>2291</v>
      </c>
      <c r="BF179" s="12"/>
      <c r="BG179" s="12"/>
      <c r="BH179" s="12"/>
      <c r="BI179" s="12"/>
      <c r="BJ179" s="12"/>
      <c r="BK179" s="12"/>
      <c r="BL179" s="12" t="s">
        <v>2292</v>
      </c>
      <c r="BM179" s="12" t="s">
        <v>2292</v>
      </c>
      <c r="BN179" s="12" t="s">
        <v>2292</v>
      </c>
      <c r="BO179" s="12" t="s">
        <v>2291</v>
      </c>
      <c r="BP179" s="12"/>
      <c r="BQ179" s="12"/>
      <c r="BR179" s="12"/>
      <c r="BS179" s="12"/>
      <c r="BT179" s="12"/>
      <c r="BU179" s="12"/>
      <c r="BV179" s="12"/>
      <c r="BW179" s="12" t="s">
        <v>824</v>
      </c>
      <c r="BX179" s="12"/>
      <c r="BY179" s="13" t="s">
        <v>313</v>
      </c>
      <c r="BZ179" s="13" t="s">
        <v>312</v>
      </c>
      <c r="CA179" s="13"/>
      <c r="CB179" s="13"/>
      <c r="CC179" s="13"/>
      <c r="CD179" s="13"/>
      <c r="CE179" s="13"/>
      <c r="CF179" s="13"/>
    </row>
    <row r="180" spans="1:84" ht="18.600000000000001" customHeight="1" x14ac:dyDescent="0.25">
      <c r="A180" s="60" t="s">
        <v>65</v>
      </c>
      <c r="B180" s="2" t="s">
        <v>315</v>
      </c>
      <c r="C180" s="3" t="s">
        <v>2358</v>
      </c>
      <c r="D180" s="12" t="s">
        <v>826</v>
      </c>
      <c r="E180" s="12" t="s">
        <v>825</v>
      </c>
      <c r="F180" s="12" t="s">
        <v>3970</v>
      </c>
      <c r="G180" s="25">
        <v>1056</v>
      </c>
      <c r="H180" s="25">
        <v>952</v>
      </c>
      <c r="I180" s="25">
        <v>27</v>
      </c>
      <c r="J180" s="25">
        <v>50</v>
      </c>
      <c r="K180" s="25">
        <v>127</v>
      </c>
      <c r="L180" s="25">
        <v>33</v>
      </c>
      <c r="M180" s="25">
        <v>160</v>
      </c>
      <c r="N180" s="31">
        <v>0.79</v>
      </c>
      <c r="O180" s="25">
        <v>753</v>
      </c>
      <c r="P180" s="25">
        <v>0</v>
      </c>
      <c r="Q180" s="25">
        <v>20</v>
      </c>
      <c r="R180" s="25">
        <v>6</v>
      </c>
      <c r="S180" s="25">
        <v>1</v>
      </c>
      <c r="T180" s="25">
        <v>0</v>
      </c>
      <c r="U180" s="61">
        <v>0</v>
      </c>
      <c r="V180" s="58">
        <v>4.4000000000000003E-3</v>
      </c>
      <c r="W180" s="33">
        <v>5.3E-3</v>
      </c>
      <c r="X180" s="33">
        <v>2.0999999999999999E-3</v>
      </c>
      <c r="Y180" s="12" t="s">
        <v>3926</v>
      </c>
      <c r="Z180" s="33">
        <v>3.2000000000000002E-3</v>
      </c>
      <c r="AA180" s="12" t="s">
        <v>3926</v>
      </c>
      <c r="AB180" s="25">
        <v>50</v>
      </c>
      <c r="AC180" s="25">
        <v>30</v>
      </c>
      <c r="AD180" s="25">
        <v>16</v>
      </c>
      <c r="AE180" s="25">
        <v>0</v>
      </c>
      <c r="AF180" s="25">
        <v>1</v>
      </c>
      <c r="AG180" s="25">
        <v>3</v>
      </c>
      <c r="AH180" s="25">
        <v>0</v>
      </c>
      <c r="AI180" s="12">
        <v>0.11</v>
      </c>
      <c r="AJ180" s="25">
        <v>5141</v>
      </c>
      <c r="AK180" s="25">
        <v>747</v>
      </c>
      <c r="AL180" s="33">
        <v>0.17</v>
      </c>
      <c r="AM180" s="3" t="s">
        <v>2358</v>
      </c>
      <c r="AN180" s="12" t="s">
        <v>825</v>
      </c>
      <c r="AO180" s="12" t="s">
        <v>825</v>
      </c>
      <c r="AP180" s="12" t="str">
        <f>"658688464161726"</f>
        <v>658688464161726</v>
      </c>
      <c r="AQ180" s="12" t="s">
        <v>826</v>
      </c>
      <c r="AR180" s="12" t="s">
        <v>827</v>
      </c>
      <c r="AS180" s="12" t="s">
        <v>828</v>
      </c>
      <c r="AT180" s="12"/>
      <c r="AU180" s="12" t="s">
        <v>324</v>
      </c>
      <c r="AV180" s="12" t="s">
        <v>5731</v>
      </c>
      <c r="AW180" s="12" t="s">
        <v>829</v>
      </c>
      <c r="AX180" s="12">
        <v>367</v>
      </c>
      <c r="AY180" s="12">
        <v>23</v>
      </c>
      <c r="AZ180" s="12">
        <v>367</v>
      </c>
      <c r="BA180" s="12" t="s">
        <v>830</v>
      </c>
      <c r="BB180" s="12" t="s">
        <v>6342</v>
      </c>
      <c r="BC180" s="12" t="s">
        <v>6343</v>
      </c>
      <c r="BD180" s="12"/>
      <c r="BE180" s="12" t="s">
        <v>2291</v>
      </c>
      <c r="BF180" s="12"/>
      <c r="BG180" s="12"/>
      <c r="BH180" s="12"/>
      <c r="BI180" s="12" t="s">
        <v>831</v>
      </c>
      <c r="BJ180" s="12" t="s">
        <v>2359</v>
      </c>
      <c r="BK180" s="12"/>
      <c r="BL180" s="12" t="s">
        <v>2292</v>
      </c>
      <c r="BM180" s="12" t="s">
        <v>2292</v>
      </c>
      <c r="BN180" s="12" t="s">
        <v>2292</v>
      </c>
      <c r="BO180" s="12" t="s">
        <v>2292</v>
      </c>
      <c r="BP180" s="12" t="s">
        <v>2360</v>
      </c>
      <c r="BQ180" s="12"/>
      <c r="BR180" s="12"/>
      <c r="BS180" s="12"/>
      <c r="BT180" s="12" t="s">
        <v>832</v>
      </c>
      <c r="BU180" s="12" t="s">
        <v>326</v>
      </c>
      <c r="BV180" s="12"/>
      <c r="BW180" s="12" t="s">
        <v>833</v>
      </c>
      <c r="BX180" s="12"/>
      <c r="BY180" s="13" t="s">
        <v>313</v>
      </c>
      <c r="BZ180" s="13" t="s">
        <v>6170</v>
      </c>
      <c r="CA180" s="13" t="s">
        <v>6170</v>
      </c>
      <c r="CB180" s="13" t="s">
        <v>312</v>
      </c>
      <c r="CC180" s="13"/>
      <c r="CD180" s="13" t="s">
        <v>6198</v>
      </c>
      <c r="CE180" s="13"/>
      <c r="CF180" s="13"/>
    </row>
    <row r="181" spans="1:84" ht="18.600000000000001" customHeight="1" x14ac:dyDescent="0.25">
      <c r="A181" s="60" t="s">
        <v>841</v>
      </c>
      <c r="B181" s="2" t="s">
        <v>3184</v>
      </c>
      <c r="C181" s="4" t="s">
        <v>3873</v>
      </c>
      <c r="D181" s="12" t="s">
        <v>4454</v>
      </c>
      <c r="E181" s="12"/>
      <c r="F181" s="12" t="s">
        <v>4455</v>
      </c>
      <c r="G181" s="25">
        <v>0</v>
      </c>
      <c r="H181" s="25">
        <v>0</v>
      </c>
      <c r="I181" s="25">
        <v>0</v>
      </c>
      <c r="J181" s="25">
        <v>0</v>
      </c>
      <c r="K181" s="25">
        <v>0</v>
      </c>
      <c r="L181" s="25">
        <v>0</v>
      </c>
      <c r="M181" s="25">
        <v>0</v>
      </c>
      <c r="N181" s="31">
        <v>0</v>
      </c>
      <c r="O181" s="25">
        <v>0</v>
      </c>
      <c r="P181" s="25">
        <v>0</v>
      </c>
      <c r="Q181" s="25">
        <v>0</v>
      </c>
      <c r="R181" s="25">
        <v>0</v>
      </c>
      <c r="S181" s="25">
        <v>0</v>
      </c>
      <c r="T181" s="25">
        <v>0</v>
      </c>
      <c r="U181" s="61">
        <v>0</v>
      </c>
      <c r="V181" s="59"/>
      <c r="W181" s="12" t="s">
        <v>3926</v>
      </c>
      <c r="X181" s="12" t="s">
        <v>3926</v>
      </c>
      <c r="Y181" s="12" t="s">
        <v>3926</v>
      </c>
      <c r="Z181" s="12" t="s">
        <v>3926</v>
      </c>
      <c r="AA181" s="12" t="s">
        <v>3926</v>
      </c>
      <c r="AB181" s="25" t="s">
        <v>3927</v>
      </c>
      <c r="AC181" s="25">
        <v>0</v>
      </c>
      <c r="AD181" s="25">
        <v>0</v>
      </c>
      <c r="AE181" s="25">
        <v>0</v>
      </c>
      <c r="AF181" s="25">
        <v>0</v>
      </c>
      <c r="AG181" s="25">
        <v>0</v>
      </c>
      <c r="AH181" s="25">
        <v>0</v>
      </c>
      <c r="AI181" s="12">
        <v>0</v>
      </c>
      <c r="AJ181" s="25">
        <v>4530</v>
      </c>
      <c r="AK181" s="25">
        <v>968</v>
      </c>
      <c r="AL181" s="33">
        <v>0.27179999999999999</v>
      </c>
      <c r="AM181" s="4" t="s">
        <v>3873</v>
      </c>
      <c r="AN181" s="12" t="s">
        <v>5470</v>
      </c>
      <c r="AO181" s="12"/>
      <c r="AP181" s="12" t="str">
        <f>"203783963024091"</f>
        <v>203783963024091</v>
      </c>
      <c r="AQ181" s="12" t="s">
        <v>4454</v>
      </c>
      <c r="AR181" s="12"/>
      <c r="AS181" s="12"/>
      <c r="AT181" s="12"/>
      <c r="AU181" s="12" t="s">
        <v>309</v>
      </c>
      <c r="AV181" s="12"/>
      <c r="AW181" s="12"/>
      <c r="AX181" s="12">
        <v>0</v>
      </c>
      <c r="AY181" s="12">
        <v>31</v>
      </c>
      <c r="AZ181" s="12">
        <v>0</v>
      </c>
      <c r="BA181" s="12" t="s">
        <v>4640</v>
      </c>
      <c r="BB181" s="12"/>
      <c r="BC181" s="12"/>
      <c r="BD181" s="12"/>
      <c r="BE181" s="12" t="s">
        <v>2291</v>
      </c>
      <c r="BF181" s="12"/>
      <c r="BG181" s="12"/>
      <c r="BH181" s="12"/>
      <c r="BI181" s="12"/>
      <c r="BJ181" s="12"/>
      <c r="BK181" s="12"/>
      <c r="BL181" s="12" t="s">
        <v>2292</v>
      </c>
      <c r="BM181" s="12" t="s">
        <v>2292</v>
      </c>
      <c r="BN181" s="12" t="s">
        <v>2292</v>
      </c>
      <c r="BO181" s="12" t="s">
        <v>2292</v>
      </c>
      <c r="BP181" s="12"/>
      <c r="BQ181" s="12"/>
      <c r="BR181" s="12"/>
      <c r="BS181" s="12"/>
      <c r="BT181" s="12"/>
      <c r="BU181" s="12"/>
      <c r="BV181" s="12"/>
      <c r="BW181" s="12"/>
      <c r="BX181" s="12"/>
      <c r="BY181" s="2" t="s">
        <v>344</v>
      </c>
      <c r="BZ181" s="13" t="s">
        <v>6170</v>
      </c>
      <c r="CA181" s="13" t="s">
        <v>6170</v>
      </c>
      <c r="CB181" s="13" t="s">
        <v>312</v>
      </c>
      <c r="CC181" s="13"/>
      <c r="CD181" s="13" t="s">
        <v>6198</v>
      </c>
      <c r="CE181" s="13" t="s">
        <v>6184</v>
      </c>
      <c r="CF181" s="13"/>
    </row>
    <row r="182" spans="1:84" ht="18.600000000000001" customHeight="1" x14ac:dyDescent="0.25">
      <c r="A182" s="60" t="s">
        <v>841</v>
      </c>
      <c r="B182" s="2" t="s">
        <v>315</v>
      </c>
      <c r="C182" s="3" t="s">
        <v>2361</v>
      </c>
      <c r="D182" s="12" t="s">
        <v>836</v>
      </c>
      <c r="E182" s="12" t="s">
        <v>835</v>
      </c>
      <c r="F182" s="12" t="s">
        <v>3971</v>
      </c>
      <c r="G182" s="25">
        <v>553</v>
      </c>
      <c r="H182" s="25">
        <v>441</v>
      </c>
      <c r="I182" s="25">
        <v>58</v>
      </c>
      <c r="J182" s="25">
        <v>37</v>
      </c>
      <c r="K182" s="25">
        <v>0</v>
      </c>
      <c r="L182" s="25">
        <v>0</v>
      </c>
      <c r="M182" s="25">
        <v>0</v>
      </c>
      <c r="N182" s="31">
        <v>0</v>
      </c>
      <c r="O182" s="25">
        <v>376</v>
      </c>
      <c r="P182" s="25">
        <v>0</v>
      </c>
      <c r="Q182" s="25">
        <v>15</v>
      </c>
      <c r="R182" s="25">
        <v>2</v>
      </c>
      <c r="S182" s="25">
        <v>0</v>
      </c>
      <c r="T182" s="25">
        <v>0</v>
      </c>
      <c r="U182" s="61">
        <v>0</v>
      </c>
      <c r="V182" s="58">
        <v>1.6000000000000001E-3</v>
      </c>
      <c r="W182" s="33">
        <v>1.9E-3</v>
      </c>
      <c r="X182" s="33">
        <v>1.1000000000000001E-3</v>
      </c>
      <c r="Y182" s="12" t="s">
        <v>3926</v>
      </c>
      <c r="Z182" s="12" t="s">
        <v>3926</v>
      </c>
      <c r="AA182" s="33">
        <v>4.0000000000000002E-4</v>
      </c>
      <c r="AB182" s="25">
        <v>30</v>
      </c>
      <c r="AC182" s="25">
        <v>24</v>
      </c>
      <c r="AD182" s="25">
        <v>1</v>
      </c>
      <c r="AE182" s="25">
        <v>0</v>
      </c>
      <c r="AF182" s="25">
        <v>0</v>
      </c>
      <c r="AG182" s="25">
        <v>4</v>
      </c>
      <c r="AH182" s="25">
        <v>1</v>
      </c>
      <c r="AI182" s="12">
        <v>7.0000000000000007E-2</v>
      </c>
      <c r="AJ182" s="25">
        <v>11614</v>
      </c>
      <c r="AK182" s="25">
        <v>692</v>
      </c>
      <c r="AL182" s="33">
        <v>6.3399999999999998E-2</v>
      </c>
      <c r="AM182" s="3" t="s">
        <v>2361</v>
      </c>
      <c r="AN182" s="12" t="s">
        <v>835</v>
      </c>
      <c r="AO182" s="12" t="s">
        <v>835</v>
      </c>
      <c r="AP182" s="12" t="str">
        <f>"147688808616818"</f>
        <v>147688808616818</v>
      </c>
      <c r="AQ182" s="12" t="s">
        <v>836</v>
      </c>
      <c r="AR182" s="12" t="s">
        <v>837</v>
      </c>
      <c r="AS182" s="12" t="s">
        <v>838</v>
      </c>
      <c r="AT182" s="12"/>
      <c r="AU182" s="12" t="s">
        <v>5257</v>
      </c>
      <c r="AV182" s="12" t="s">
        <v>6344</v>
      </c>
      <c r="AW182" s="12"/>
      <c r="AX182" s="12">
        <v>393</v>
      </c>
      <c r="AY182" s="12">
        <v>89</v>
      </c>
      <c r="AZ182" s="12">
        <v>0</v>
      </c>
      <c r="BA182" s="12" t="s">
        <v>839</v>
      </c>
      <c r="BB182" s="12" t="s">
        <v>6345</v>
      </c>
      <c r="BC182" s="12" t="s">
        <v>6346</v>
      </c>
      <c r="BD182" s="12"/>
      <c r="BE182" s="12" t="s">
        <v>2291</v>
      </c>
      <c r="BF182" s="12"/>
      <c r="BG182" s="12"/>
      <c r="BH182" s="12"/>
      <c r="BI182" s="12"/>
      <c r="BJ182" s="12" t="s">
        <v>2362</v>
      </c>
      <c r="BK182" s="12" t="s">
        <v>6347</v>
      </c>
      <c r="BL182" s="12" t="s">
        <v>2292</v>
      </c>
      <c r="BM182" s="12" t="s">
        <v>2292</v>
      </c>
      <c r="BN182" s="12" t="s">
        <v>2292</v>
      </c>
      <c r="BO182" s="12" t="s">
        <v>2292</v>
      </c>
      <c r="BP182" s="12" t="s">
        <v>840</v>
      </c>
      <c r="BQ182" s="12"/>
      <c r="BR182" s="12"/>
      <c r="BS182" s="12"/>
      <c r="BT182" s="12" t="s">
        <v>2363</v>
      </c>
      <c r="BU182" s="12" t="s">
        <v>326</v>
      </c>
      <c r="BV182" s="12"/>
      <c r="BW182" s="12" t="s">
        <v>4513</v>
      </c>
      <c r="BX182" s="12"/>
      <c r="BY182" s="13" t="s">
        <v>313</v>
      </c>
      <c r="BZ182" s="13" t="s">
        <v>6174</v>
      </c>
      <c r="CA182" s="13" t="s">
        <v>6170</v>
      </c>
      <c r="CB182" s="13" t="s">
        <v>312</v>
      </c>
      <c r="CC182" s="13"/>
      <c r="CD182" s="13" t="s">
        <v>6198</v>
      </c>
      <c r="CE182" s="13"/>
      <c r="CF182" s="13"/>
    </row>
    <row r="183" spans="1:84" ht="18.600000000000001" customHeight="1" x14ac:dyDescent="0.25">
      <c r="A183" s="60" t="s">
        <v>841</v>
      </c>
      <c r="B183" s="2" t="s">
        <v>315</v>
      </c>
      <c r="C183" s="3" t="s">
        <v>3901</v>
      </c>
      <c r="D183" s="12" t="s">
        <v>842</v>
      </c>
      <c r="E183" s="12" t="s">
        <v>3766</v>
      </c>
      <c r="F183" s="12" t="s">
        <v>4082</v>
      </c>
      <c r="G183" s="25">
        <v>4648</v>
      </c>
      <c r="H183" s="25">
        <v>2165</v>
      </c>
      <c r="I183" s="25">
        <v>135</v>
      </c>
      <c r="J183" s="25">
        <v>2254</v>
      </c>
      <c r="K183" s="25">
        <v>7314</v>
      </c>
      <c r="L183" s="25">
        <v>3228</v>
      </c>
      <c r="M183" s="25">
        <v>10542</v>
      </c>
      <c r="N183" s="31">
        <v>0.69</v>
      </c>
      <c r="O183" s="25">
        <v>447</v>
      </c>
      <c r="P183" s="25">
        <v>8</v>
      </c>
      <c r="Q183" s="25">
        <v>70</v>
      </c>
      <c r="R183" s="25">
        <v>21</v>
      </c>
      <c r="S183" s="25">
        <v>1</v>
      </c>
      <c r="T183" s="25">
        <v>2</v>
      </c>
      <c r="U183" s="61">
        <v>0</v>
      </c>
      <c r="V183" s="58">
        <v>2.8999999999999998E-3</v>
      </c>
      <c r="W183" s="33">
        <v>3.0999999999999999E-3</v>
      </c>
      <c r="X183" s="33">
        <v>8.0000000000000004E-4</v>
      </c>
      <c r="Y183" s="12" t="s">
        <v>3926</v>
      </c>
      <c r="Z183" s="33">
        <v>2E-3</v>
      </c>
      <c r="AA183" s="33">
        <v>2.9999999999999997E-4</v>
      </c>
      <c r="AB183" s="25">
        <v>435</v>
      </c>
      <c r="AC183" s="25">
        <v>355</v>
      </c>
      <c r="AD183" s="25">
        <v>2</v>
      </c>
      <c r="AE183" s="25">
        <v>0</v>
      </c>
      <c r="AF183" s="25">
        <v>73</v>
      </c>
      <c r="AG183" s="25">
        <v>3</v>
      </c>
      <c r="AH183" s="25">
        <v>2</v>
      </c>
      <c r="AI183" s="12">
        <v>0.99</v>
      </c>
      <c r="AJ183" s="25">
        <v>4729</v>
      </c>
      <c r="AK183" s="25">
        <v>2442</v>
      </c>
      <c r="AL183" s="33">
        <v>1.0678000000000001</v>
      </c>
      <c r="AM183" s="3" t="s">
        <v>3901</v>
      </c>
      <c r="AN183" s="12" t="s">
        <v>3766</v>
      </c>
      <c r="AO183" s="12" t="s">
        <v>3766</v>
      </c>
      <c r="AP183" s="12" t="str">
        <f>"907217095972405"</f>
        <v>907217095972405</v>
      </c>
      <c r="AQ183" s="12" t="s">
        <v>842</v>
      </c>
      <c r="AR183" s="12" t="s">
        <v>843</v>
      </c>
      <c r="AS183" s="12" t="s">
        <v>67</v>
      </c>
      <c r="AT183" s="12"/>
      <c r="AU183" s="12" t="s">
        <v>324</v>
      </c>
      <c r="AV183" s="12"/>
      <c r="AW183" s="12"/>
      <c r="AX183" s="12">
        <v>0</v>
      </c>
      <c r="AY183" s="12">
        <v>295</v>
      </c>
      <c r="AZ183" s="12">
        <v>0</v>
      </c>
      <c r="BA183" s="12" t="s">
        <v>3767</v>
      </c>
      <c r="BB183" s="12"/>
      <c r="BC183" s="12" t="s">
        <v>6611</v>
      </c>
      <c r="BD183" s="12"/>
      <c r="BE183" s="12" t="s">
        <v>2291</v>
      </c>
      <c r="BF183" s="12"/>
      <c r="BG183" s="12"/>
      <c r="BH183" s="12"/>
      <c r="BI183" s="12" t="s">
        <v>3578</v>
      </c>
      <c r="BJ183" s="12"/>
      <c r="BK183" s="12"/>
      <c r="BL183" s="12" t="s">
        <v>2292</v>
      </c>
      <c r="BM183" s="12" t="s">
        <v>2292</v>
      </c>
      <c r="BN183" s="12" t="s">
        <v>2292</v>
      </c>
      <c r="BO183" s="12" t="s">
        <v>2292</v>
      </c>
      <c r="BP183" s="12"/>
      <c r="BQ183" s="12"/>
      <c r="BR183" s="12"/>
      <c r="BS183" s="12"/>
      <c r="BT183" s="12">
        <v>123</v>
      </c>
      <c r="BU183" s="12"/>
      <c r="BV183" s="12"/>
      <c r="BW183" s="12"/>
      <c r="BX183" s="12"/>
      <c r="BY183" s="13" t="s">
        <v>313</v>
      </c>
      <c r="BZ183" s="13" t="s">
        <v>6173</v>
      </c>
      <c r="CA183" s="13" t="s">
        <v>6170</v>
      </c>
      <c r="CB183" s="13" t="s">
        <v>312</v>
      </c>
      <c r="CC183" s="13"/>
      <c r="CD183" s="13" t="s">
        <v>6198</v>
      </c>
      <c r="CE183" s="13" t="s">
        <v>6175</v>
      </c>
      <c r="CF183" s="13"/>
    </row>
    <row r="184" spans="1:84" ht="18.600000000000001" customHeight="1" x14ac:dyDescent="0.25">
      <c r="A184" s="60" t="s">
        <v>116</v>
      </c>
      <c r="B184" s="2" t="s">
        <v>846</v>
      </c>
      <c r="C184" s="3" t="s">
        <v>2589</v>
      </c>
      <c r="D184" s="12" t="s">
        <v>844</v>
      </c>
      <c r="E184" s="12" t="s">
        <v>2590</v>
      </c>
      <c r="F184" s="12" t="s">
        <v>4106</v>
      </c>
      <c r="G184" s="25">
        <v>35973961</v>
      </c>
      <c r="H184" s="25">
        <v>27443858</v>
      </c>
      <c r="I184" s="25">
        <v>1443680</v>
      </c>
      <c r="J184" s="25">
        <v>4811261</v>
      </c>
      <c r="K184" s="25">
        <v>53461640</v>
      </c>
      <c r="L184" s="25">
        <v>30543624</v>
      </c>
      <c r="M184" s="25">
        <v>84005264</v>
      </c>
      <c r="N184" s="31">
        <v>0.64</v>
      </c>
      <c r="O184" s="25">
        <v>0</v>
      </c>
      <c r="P184" s="25">
        <v>32192341</v>
      </c>
      <c r="Q184" s="25">
        <v>2038992</v>
      </c>
      <c r="R184" s="25">
        <v>58448</v>
      </c>
      <c r="S184" s="25">
        <v>76890</v>
      </c>
      <c r="T184" s="25">
        <v>67793</v>
      </c>
      <c r="U184" s="61">
        <v>32629</v>
      </c>
      <c r="V184" s="58">
        <v>1.6999999999999999E-3</v>
      </c>
      <c r="W184" s="33">
        <v>2.2000000000000001E-3</v>
      </c>
      <c r="X184" s="12" t="s">
        <v>3926</v>
      </c>
      <c r="Y184" s="33">
        <v>5.9999999999999995E-4</v>
      </c>
      <c r="Z184" s="33">
        <v>1.4E-3</v>
      </c>
      <c r="AA184" s="12" t="s">
        <v>3926</v>
      </c>
      <c r="AB184" s="25">
        <v>2531</v>
      </c>
      <c r="AC184" s="25">
        <v>1215</v>
      </c>
      <c r="AD184" s="25">
        <v>0</v>
      </c>
      <c r="AE184" s="25">
        <v>4</v>
      </c>
      <c r="AF184" s="25">
        <v>1312</v>
      </c>
      <c r="AG184" s="25">
        <v>0</v>
      </c>
      <c r="AH184" s="25">
        <v>0</v>
      </c>
      <c r="AI184" s="12">
        <v>5.77</v>
      </c>
      <c r="AJ184" s="25">
        <v>9645040</v>
      </c>
      <c r="AK184" s="25">
        <v>3119287</v>
      </c>
      <c r="AL184" s="33">
        <v>0.47799999999999998</v>
      </c>
      <c r="AM184" s="3" t="s">
        <v>2589</v>
      </c>
      <c r="AN184" s="12" t="s">
        <v>2590</v>
      </c>
      <c r="AO184" s="12" t="s">
        <v>2590</v>
      </c>
      <c r="AP184" s="12" t="str">
        <f>"111975152184324"</f>
        <v>111975152184324</v>
      </c>
      <c r="AQ184" s="12" t="s">
        <v>844</v>
      </c>
      <c r="AR184" s="12" t="s">
        <v>3209</v>
      </c>
      <c r="AS184" s="12" t="s">
        <v>845</v>
      </c>
      <c r="AT184" s="12" t="s">
        <v>3210</v>
      </c>
      <c r="AU184" s="12" t="s">
        <v>424</v>
      </c>
      <c r="AV184" s="12"/>
      <c r="AW184" s="12"/>
      <c r="AX184" s="12">
        <v>0</v>
      </c>
      <c r="AY184" s="12">
        <v>237790</v>
      </c>
      <c r="AZ184" s="12">
        <v>0</v>
      </c>
      <c r="BA184" s="12" t="s">
        <v>2591</v>
      </c>
      <c r="BB184" s="12" t="s">
        <v>6659</v>
      </c>
      <c r="BC184" s="12" t="s">
        <v>6660</v>
      </c>
      <c r="BD184" s="12"/>
      <c r="BE184" s="12" t="s">
        <v>2291</v>
      </c>
      <c r="BF184" s="12"/>
      <c r="BG184" s="12"/>
      <c r="BH184" s="12"/>
      <c r="BI184" s="12"/>
      <c r="BJ184" s="12"/>
      <c r="BK184" s="12"/>
      <c r="BL184" s="12" t="s">
        <v>2292</v>
      </c>
      <c r="BM184" s="12" t="s">
        <v>2292</v>
      </c>
      <c r="BN184" s="12" t="s">
        <v>2292</v>
      </c>
      <c r="BO184" s="12" t="s">
        <v>2291</v>
      </c>
      <c r="BP184" s="12"/>
      <c r="BQ184" s="12"/>
      <c r="BR184" s="12"/>
      <c r="BS184" s="12"/>
      <c r="BT184" s="12"/>
      <c r="BU184" s="12"/>
      <c r="BV184" s="12"/>
      <c r="BW184" s="12" t="s">
        <v>3211</v>
      </c>
      <c r="BX184" s="12"/>
      <c r="BY184" s="13" t="s">
        <v>313</v>
      </c>
      <c r="BZ184" s="13" t="s">
        <v>6172</v>
      </c>
      <c r="CA184" s="13" t="s">
        <v>6170</v>
      </c>
      <c r="CB184" s="13" t="s">
        <v>312</v>
      </c>
      <c r="CC184" s="13"/>
      <c r="CD184" s="13" t="s">
        <v>6198</v>
      </c>
      <c r="CE184" s="13"/>
      <c r="CF184" s="13"/>
    </row>
    <row r="185" spans="1:84" ht="18.600000000000001" customHeight="1" x14ac:dyDescent="0.25">
      <c r="A185" s="60" t="s">
        <v>116</v>
      </c>
      <c r="B185" s="2" t="s">
        <v>335</v>
      </c>
      <c r="C185" s="3" t="s">
        <v>2714</v>
      </c>
      <c r="D185" s="12" t="s">
        <v>848</v>
      </c>
      <c r="E185" s="12" t="s">
        <v>847</v>
      </c>
      <c r="F185" s="12" t="s">
        <v>4182</v>
      </c>
      <c r="G185" s="25">
        <v>89654</v>
      </c>
      <c r="H185" s="25">
        <v>64499</v>
      </c>
      <c r="I185" s="25">
        <v>671</v>
      </c>
      <c r="J185" s="25">
        <v>23091</v>
      </c>
      <c r="K185" s="25">
        <v>4502</v>
      </c>
      <c r="L185" s="25">
        <v>13664</v>
      </c>
      <c r="M185" s="25">
        <v>18166</v>
      </c>
      <c r="N185" s="31">
        <v>0.25</v>
      </c>
      <c r="O185" s="25">
        <v>16242</v>
      </c>
      <c r="P185" s="25">
        <v>0</v>
      </c>
      <c r="Q185" s="25">
        <v>1167</v>
      </c>
      <c r="R185" s="25">
        <v>66</v>
      </c>
      <c r="S185" s="25">
        <v>49</v>
      </c>
      <c r="T185" s="25">
        <v>104</v>
      </c>
      <c r="U185" s="61">
        <v>7</v>
      </c>
      <c r="V185" s="58">
        <v>2.3E-3</v>
      </c>
      <c r="W185" s="33">
        <v>2.3999999999999998E-3</v>
      </c>
      <c r="X185" s="33">
        <v>1.6000000000000001E-3</v>
      </c>
      <c r="Y185" s="33">
        <v>0</v>
      </c>
      <c r="Z185" s="33">
        <v>1.09E-2</v>
      </c>
      <c r="AA185" s="33">
        <v>6.9999999999999999E-4</v>
      </c>
      <c r="AB185" s="25">
        <v>407</v>
      </c>
      <c r="AC185" s="25">
        <v>352</v>
      </c>
      <c r="AD185" s="25">
        <v>31</v>
      </c>
      <c r="AE185" s="25">
        <v>1</v>
      </c>
      <c r="AF185" s="25">
        <v>1</v>
      </c>
      <c r="AG185" s="25">
        <v>17</v>
      </c>
      <c r="AH185" s="25">
        <v>5</v>
      </c>
      <c r="AI185" s="12">
        <v>0.93</v>
      </c>
      <c r="AJ185" s="25">
        <v>101761</v>
      </c>
      <c r="AK185" s="25">
        <v>12263</v>
      </c>
      <c r="AL185" s="33">
        <v>0.13700000000000001</v>
      </c>
      <c r="AM185" s="3" t="s">
        <v>2714</v>
      </c>
      <c r="AN185" s="12" t="s">
        <v>847</v>
      </c>
      <c r="AO185" s="12" t="s">
        <v>847</v>
      </c>
      <c r="AP185" s="12" t="str">
        <f>"381324148664845"</f>
        <v>381324148664845</v>
      </c>
      <c r="AQ185" s="12" t="s">
        <v>848</v>
      </c>
      <c r="AR185" s="12" t="s">
        <v>849</v>
      </c>
      <c r="AS185" s="12" t="s">
        <v>3266</v>
      </c>
      <c r="AT185" s="12"/>
      <c r="AU185" s="12" t="s">
        <v>4806</v>
      </c>
      <c r="AV185" s="12" t="s">
        <v>6839</v>
      </c>
      <c r="AW185" s="12" t="s">
        <v>850</v>
      </c>
      <c r="AX185" s="12">
        <v>4270</v>
      </c>
      <c r="AY185" s="12">
        <v>1073</v>
      </c>
      <c r="AZ185" s="12">
        <v>4270</v>
      </c>
      <c r="BA185" s="12" t="s">
        <v>851</v>
      </c>
      <c r="BB185" s="12" t="s">
        <v>6840</v>
      </c>
      <c r="BC185" s="12" t="s">
        <v>6841</v>
      </c>
      <c r="BD185" s="12"/>
      <c r="BE185" s="12" t="s">
        <v>2291</v>
      </c>
      <c r="BF185" s="12"/>
      <c r="BG185" s="12"/>
      <c r="BH185" s="12"/>
      <c r="BI185" s="12" t="s">
        <v>3267</v>
      </c>
      <c r="BJ185" s="12" t="s">
        <v>2715</v>
      </c>
      <c r="BK185" s="12" t="s">
        <v>6842</v>
      </c>
      <c r="BL185" s="12" t="s">
        <v>2292</v>
      </c>
      <c r="BM185" s="12" t="s">
        <v>2292</v>
      </c>
      <c r="BN185" s="12" t="s">
        <v>2292</v>
      </c>
      <c r="BO185" s="12" t="s">
        <v>2292</v>
      </c>
      <c r="BP185" s="12" t="s">
        <v>852</v>
      </c>
      <c r="BQ185" s="12"/>
      <c r="BR185" s="12"/>
      <c r="BS185" s="12"/>
      <c r="BT185" s="12" t="s">
        <v>3787</v>
      </c>
      <c r="BU185" s="12" t="s">
        <v>326</v>
      </c>
      <c r="BV185" s="12"/>
      <c r="BW185" s="12" t="s">
        <v>4823</v>
      </c>
      <c r="BX185" s="12"/>
      <c r="BY185" s="13" t="s">
        <v>313</v>
      </c>
      <c r="BZ185" s="13" t="s">
        <v>6172</v>
      </c>
      <c r="CA185" s="13" t="s">
        <v>6170</v>
      </c>
      <c r="CB185" s="13" t="s">
        <v>6197</v>
      </c>
      <c r="CC185" s="13"/>
      <c r="CD185" s="13" t="s">
        <v>6198</v>
      </c>
      <c r="CE185" s="13"/>
      <c r="CF185" s="13"/>
    </row>
    <row r="186" spans="1:84" ht="18.600000000000001" customHeight="1" x14ac:dyDescent="0.25">
      <c r="A186" s="60" t="s">
        <v>68</v>
      </c>
      <c r="B186" s="2" t="s">
        <v>314</v>
      </c>
      <c r="C186" s="3" t="s">
        <v>5204</v>
      </c>
      <c r="D186" s="12" t="s">
        <v>5102</v>
      </c>
      <c r="E186" s="12" t="s">
        <v>5103</v>
      </c>
      <c r="F186" s="12" t="s">
        <v>4301</v>
      </c>
      <c r="G186" s="25">
        <v>57615</v>
      </c>
      <c r="H186" s="25">
        <v>49203</v>
      </c>
      <c r="I186" s="25">
        <v>2456</v>
      </c>
      <c r="J186" s="25">
        <v>4319</v>
      </c>
      <c r="K186" s="25">
        <v>6342</v>
      </c>
      <c r="L186" s="25">
        <v>7166</v>
      </c>
      <c r="M186" s="25">
        <v>13508</v>
      </c>
      <c r="N186" s="31">
        <v>0.47</v>
      </c>
      <c r="O186" s="25">
        <v>0</v>
      </c>
      <c r="P186" s="25">
        <v>0</v>
      </c>
      <c r="Q186" s="25">
        <v>1274</v>
      </c>
      <c r="R186" s="25">
        <v>152</v>
      </c>
      <c r="S186" s="25">
        <v>18</v>
      </c>
      <c r="T186" s="25">
        <v>192</v>
      </c>
      <c r="U186" s="61">
        <v>0</v>
      </c>
      <c r="V186" s="58">
        <v>1.5100000000000001E-2</v>
      </c>
      <c r="W186" s="33">
        <v>1.8700000000000001E-2</v>
      </c>
      <c r="X186" s="33">
        <v>3.8999999999999998E-3</v>
      </c>
      <c r="Y186" s="33">
        <v>3.5999999999999999E-3</v>
      </c>
      <c r="Z186" s="33">
        <v>9.7999999999999997E-3</v>
      </c>
      <c r="AA186" s="33">
        <v>2.7000000000000001E-3</v>
      </c>
      <c r="AB186" s="25">
        <v>217</v>
      </c>
      <c r="AC186" s="25">
        <v>163</v>
      </c>
      <c r="AD186" s="25">
        <v>42</v>
      </c>
      <c r="AE186" s="25">
        <v>2</v>
      </c>
      <c r="AF186" s="25">
        <v>5</v>
      </c>
      <c r="AG186" s="25">
        <v>0</v>
      </c>
      <c r="AH186" s="25">
        <v>5</v>
      </c>
      <c r="AI186" s="12">
        <v>0.49</v>
      </c>
      <c r="AJ186" s="25">
        <v>19853</v>
      </c>
      <c r="AK186" s="25">
        <v>4295</v>
      </c>
      <c r="AL186" s="33">
        <v>0.27610000000000001</v>
      </c>
      <c r="AM186" s="3" t="s">
        <v>5204</v>
      </c>
      <c r="AN186" s="12" t="s">
        <v>5103</v>
      </c>
      <c r="AO186" s="12" t="s">
        <v>5103</v>
      </c>
      <c r="AP186" s="12" t="str">
        <f>"281871685255679"</f>
        <v>281871685255679</v>
      </c>
      <c r="AQ186" s="12" t="s">
        <v>5102</v>
      </c>
      <c r="AR186" s="12" t="s">
        <v>5268</v>
      </c>
      <c r="AS186" s="12" t="s">
        <v>5269</v>
      </c>
      <c r="AT186" s="12"/>
      <c r="AU186" s="12" t="s">
        <v>309</v>
      </c>
      <c r="AV186" s="12"/>
      <c r="AW186" s="12"/>
      <c r="AX186" s="12">
        <v>0</v>
      </c>
      <c r="AY186" s="12">
        <v>163</v>
      </c>
      <c r="AZ186" s="12">
        <v>0</v>
      </c>
      <c r="BA186" s="12" t="s">
        <v>5270</v>
      </c>
      <c r="BB186" s="12" t="s">
        <v>5809</v>
      </c>
      <c r="BC186" s="12" t="s">
        <v>6500</v>
      </c>
      <c r="BD186" s="12"/>
      <c r="BE186" s="12" t="s">
        <v>2291</v>
      </c>
      <c r="BF186" s="12"/>
      <c r="BG186" s="12"/>
      <c r="BH186" s="12"/>
      <c r="BI186" s="12" t="s">
        <v>5271</v>
      </c>
      <c r="BJ186" s="12"/>
      <c r="BK186" s="12"/>
      <c r="BL186" s="12" t="s">
        <v>2292</v>
      </c>
      <c r="BM186" s="12" t="s">
        <v>2292</v>
      </c>
      <c r="BN186" s="12" t="s">
        <v>2292</v>
      </c>
      <c r="BO186" s="12" t="s">
        <v>2292</v>
      </c>
      <c r="BP186" s="12"/>
      <c r="BQ186" s="12"/>
      <c r="BR186" s="12"/>
      <c r="BS186" s="12"/>
      <c r="BT186" s="12">
        <v>77062333</v>
      </c>
      <c r="BU186" s="12"/>
      <c r="BV186" s="12"/>
      <c r="BW186" s="12" t="s">
        <v>5272</v>
      </c>
      <c r="BX186" s="12"/>
      <c r="BY186" s="13" t="s">
        <v>313</v>
      </c>
      <c r="BZ186" s="13" t="s">
        <v>6170</v>
      </c>
      <c r="CA186" s="13" t="s">
        <v>6170</v>
      </c>
      <c r="CB186" s="13" t="s">
        <v>312</v>
      </c>
      <c r="CC186" s="13"/>
      <c r="CD186" s="13" t="s">
        <v>6198</v>
      </c>
      <c r="CE186" s="13"/>
      <c r="CF186" s="13"/>
    </row>
    <row r="187" spans="1:84" ht="18.600000000000001" customHeight="1" x14ac:dyDescent="0.25">
      <c r="A187" s="28" t="s">
        <v>68</v>
      </c>
      <c r="B187" s="12" t="s">
        <v>6215</v>
      </c>
      <c r="C187" s="3" t="s">
        <v>6216</v>
      </c>
      <c r="D187" s="12" t="s">
        <v>6214</v>
      </c>
      <c r="E187" s="12" t="s">
        <v>6281</v>
      </c>
      <c r="F187" s="12" t="s">
        <v>7416</v>
      </c>
      <c r="G187" s="25">
        <v>48676</v>
      </c>
      <c r="H187" s="25">
        <v>42383</v>
      </c>
      <c r="I187" s="25">
        <v>2387</v>
      </c>
      <c r="J187" s="25">
        <v>2365</v>
      </c>
      <c r="K187" s="25">
        <v>3637</v>
      </c>
      <c r="L187" s="25">
        <v>9281</v>
      </c>
      <c r="M187" s="25">
        <v>12918</v>
      </c>
      <c r="N187" s="31">
        <v>0.28000000000000003</v>
      </c>
      <c r="O187" s="25">
        <v>5527</v>
      </c>
      <c r="P187" s="25">
        <v>0</v>
      </c>
      <c r="Q187" s="25">
        <v>1198</v>
      </c>
      <c r="R187" s="25">
        <v>62</v>
      </c>
      <c r="S187" s="25">
        <v>52</v>
      </c>
      <c r="T187" s="25">
        <v>224</v>
      </c>
      <c r="U187" s="61">
        <v>5</v>
      </c>
      <c r="V187" s="58">
        <v>3.3000000000000002E-2</v>
      </c>
      <c r="W187" s="33">
        <v>2.12E-2</v>
      </c>
      <c r="X187" s="33">
        <v>6.1499999999999999E-2</v>
      </c>
      <c r="Y187" s="33">
        <v>4.02E-2</v>
      </c>
      <c r="Z187" s="33">
        <v>1.77E-2</v>
      </c>
      <c r="AA187" s="33">
        <v>2.47E-2</v>
      </c>
      <c r="AB187" s="25">
        <v>102</v>
      </c>
      <c r="AC187" s="25">
        <v>25</v>
      </c>
      <c r="AD187" s="25">
        <v>30</v>
      </c>
      <c r="AE187" s="25">
        <v>18</v>
      </c>
      <c r="AF187" s="25">
        <v>4</v>
      </c>
      <c r="AG187" s="25">
        <v>20</v>
      </c>
      <c r="AH187" s="25">
        <v>5</v>
      </c>
      <c r="AI187" s="12">
        <v>0.23</v>
      </c>
      <c r="AJ187" s="25">
        <v>15834</v>
      </c>
      <c r="AK187" s="25">
        <v>0</v>
      </c>
      <c r="AL187" s="31">
        <v>0</v>
      </c>
      <c r="AM187" s="3" t="s">
        <v>6216</v>
      </c>
      <c r="AN187" s="12" t="s">
        <v>6281</v>
      </c>
      <c r="AO187" s="12" t="s">
        <v>6281</v>
      </c>
      <c r="AP187" s="12" t="str">
        <f>"142236679137060"</f>
        <v>142236679137060</v>
      </c>
      <c r="AQ187" s="12" t="s">
        <v>6214</v>
      </c>
      <c r="AR187" s="12"/>
      <c r="AS187" s="12" t="s">
        <v>6282</v>
      </c>
      <c r="AT187" s="12"/>
      <c r="AU187" s="12" t="s">
        <v>319</v>
      </c>
      <c r="AV187" s="12"/>
      <c r="AW187" s="12"/>
      <c r="AX187" s="12">
        <v>0</v>
      </c>
      <c r="AY187" s="12">
        <v>1081</v>
      </c>
      <c r="AZ187" s="12">
        <v>0</v>
      </c>
      <c r="BA187" s="12" t="s">
        <v>6283</v>
      </c>
      <c r="BB187" s="12" t="s">
        <v>6284</v>
      </c>
      <c r="BC187" s="12" t="s">
        <v>6285</v>
      </c>
      <c r="BD187" s="12" t="s">
        <v>6286</v>
      </c>
      <c r="BE187" s="12" t="s">
        <v>2291</v>
      </c>
      <c r="BF187" s="12"/>
      <c r="BG187" s="12"/>
      <c r="BH187" s="12"/>
      <c r="BI187" s="12"/>
      <c r="BJ187" s="12"/>
      <c r="BK187" s="12"/>
      <c r="BL187" s="12" t="s">
        <v>2292</v>
      </c>
      <c r="BM187" s="12" t="s">
        <v>2292</v>
      </c>
      <c r="BN187" s="12" t="s">
        <v>2292</v>
      </c>
      <c r="BO187" s="12" t="s">
        <v>2292</v>
      </c>
      <c r="BP187" s="12"/>
      <c r="BQ187" s="12"/>
      <c r="BR187" s="12"/>
      <c r="BS187" s="12"/>
      <c r="BT187" s="12"/>
      <c r="BU187" s="12"/>
      <c r="BV187" s="12"/>
      <c r="BW187" s="12" t="s">
        <v>853</v>
      </c>
      <c r="BX187" s="12"/>
      <c r="BY187" s="2"/>
      <c r="BZ187" s="13" t="s">
        <v>312</v>
      </c>
      <c r="CA187" s="13"/>
      <c r="CB187" s="13"/>
      <c r="CC187" s="13"/>
      <c r="CD187" s="13"/>
      <c r="CE187" s="13"/>
      <c r="CF187" s="13"/>
    </row>
    <row r="188" spans="1:84" ht="18.600000000000001" customHeight="1" x14ac:dyDescent="0.25">
      <c r="A188" s="60" t="s">
        <v>69</v>
      </c>
      <c r="B188" s="2" t="s">
        <v>858</v>
      </c>
      <c r="C188" s="3" t="s">
        <v>3380</v>
      </c>
      <c r="D188" s="12" t="s">
        <v>855</v>
      </c>
      <c r="E188" s="12" t="s">
        <v>3456</v>
      </c>
      <c r="F188" s="12" t="s">
        <v>4311</v>
      </c>
      <c r="G188" s="25">
        <v>342178</v>
      </c>
      <c r="H188" s="25">
        <v>277502</v>
      </c>
      <c r="I188" s="25">
        <v>14371</v>
      </c>
      <c r="J188" s="25">
        <v>24267</v>
      </c>
      <c r="K188" s="25">
        <v>2461081</v>
      </c>
      <c r="L188" s="25">
        <v>676966</v>
      </c>
      <c r="M188" s="25">
        <v>3138047</v>
      </c>
      <c r="N188" s="31">
        <v>0.78</v>
      </c>
      <c r="O188" s="25">
        <v>91521</v>
      </c>
      <c r="P188" s="25">
        <v>26429</v>
      </c>
      <c r="Q188" s="25">
        <v>19354</v>
      </c>
      <c r="R188" s="25">
        <v>484</v>
      </c>
      <c r="S188" s="25">
        <v>700</v>
      </c>
      <c r="T188" s="25">
        <v>4946</v>
      </c>
      <c r="U188" s="61">
        <v>552</v>
      </c>
      <c r="V188" s="58">
        <v>1.1000000000000001E-3</v>
      </c>
      <c r="W188" s="33">
        <v>1.1999999999999999E-3</v>
      </c>
      <c r="X188" s="33">
        <v>5.0000000000000001E-4</v>
      </c>
      <c r="Y188" s="33">
        <v>2.3999999999999998E-3</v>
      </c>
      <c r="Z188" s="33">
        <v>6.9999999999999999E-4</v>
      </c>
      <c r="AA188" s="33">
        <v>1E-4</v>
      </c>
      <c r="AB188" s="25">
        <v>1366</v>
      </c>
      <c r="AC188" s="25">
        <v>665</v>
      </c>
      <c r="AD188" s="25">
        <v>65</v>
      </c>
      <c r="AE188" s="25">
        <v>79</v>
      </c>
      <c r="AF188" s="25">
        <v>509</v>
      </c>
      <c r="AG188" s="25">
        <v>26</v>
      </c>
      <c r="AH188" s="25">
        <v>22</v>
      </c>
      <c r="AI188" s="12">
        <v>3.11</v>
      </c>
      <c r="AJ188" s="25">
        <v>243400</v>
      </c>
      <c r="AK188" s="25">
        <v>14683</v>
      </c>
      <c r="AL188" s="33">
        <v>6.4199999999999993E-2</v>
      </c>
      <c r="AM188" s="3" t="s">
        <v>3380</v>
      </c>
      <c r="AN188" s="12" t="s">
        <v>3456</v>
      </c>
      <c r="AO188" s="12" t="s">
        <v>3456</v>
      </c>
      <c r="AP188" s="12" t="str">
        <f>"197876463713968"</f>
        <v>197876463713968</v>
      </c>
      <c r="AQ188" s="12" t="s">
        <v>855</v>
      </c>
      <c r="AR188" s="12" t="s">
        <v>3457</v>
      </c>
      <c r="AS188" s="12" t="s">
        <v>856</v>
      </c>
      <c r="AT188" s="12"/>
      <c r="AU188" s="12" t="s">
        <v>309</v>
      </c>
      <c r="AV188" s="12"/>
      <c r="AW188" s="12"/>
      <c r="AX188" s="12">
        <v>0</v>
      </c>
      <c r="AY188" s="12">
        <v>3402</v>
      </c>
      <c r="AZ188" s="12">
        <v>0</v>
      </c>
      <c r="BA188" s="12" t="s">
        <v>3458</v>
      </c>
      <c r="BB188" s="12" t="s">
        <v>7123</v>
      </c>
      <c r="BC188" s="12" t="s">
        <v>7124</v>
      </c>
      <c r="BD188" s="12"/>
      <c r="BE188" s="12" t="s">
        <v>2291</v>
      </c>
      <c r="BF188" s="12"/>
      <c r="BG188" s="12"/>
      <c r="BH188" s="12"/>
      <c r="BI188" s="12"/>
      <c r="BJ188" s="12"/>
      <c r="BK188" s="12"/>
      <c r="BL188" s="12" t="s">
        <v>2292</v>
      </c>
      <c r="BM188" s="12" t="s">
        <v>2292</v>
      </c>
      <c r="BN188" s="12" t="s">
        <v>2292</v>
      </c>
      <c r="BO188" s="12" t="s">
        <v>2291</v>
      </c>
      <c r="BP188" s="12"/>
      <c r="BQ188" s="12"/>
      <c r="BR188" s="12" t="s">
        <v>854</v>
      </c>
      <c r="BS188" s="12"/>
      <c r="BT188" s="12">
        <v>995322282736</v>
      </c>
      <c r="BU188" s="12"/>
      <c r="BV188" s="12"/>
      <c r="BW188" s="12" t="s">
        <v>857</v>
      </c>
      <c r="BX188" s="12"/>
      <c r="BY188" s="13" t="s">
        <v>313</v>
      </c>
      <c r="BZ188" s="13" t="s">
        <v>312</v>
      </c>
      <c r="CA188" s="13"/>
      <c r="CB188" s="13"/>
      <c r="CC188" s="13"/>
      <c r="CD188" s="13"/>
      <c r="CE188" s="13" t="s">
        <v>6175</v>
      </c>
      <c r="CF188" s="13"/>
    </row>
    <row r="189" spans="1:84" ht="18.600000000000001" customHeight="1" x14ac:dyDescent="0.25">
      <c r="A189" s="60" t="s">
        <v>69</v>
      </c>
      <c r="B189" s="2" t="s">
        <v>2511</v>
      </c>
      <c r="C189" s="3" t="s">
        <v>3127</v>
      </c>
      <c r="D189" s="12" t="s">
        <v>3179</v>
      </c>
      <c r="E189" s="12" t="s">
        <v>3106</v>
      </c>
      <c r="F189" s="12" t="s">
        <v>4146</v>
      </c>
      <c r="G189" s="25">
        <v>1283683</v>
      </c>
      <c r="H189" s="25">
        <v>1003732</v>
      </c>
      <c r="I189" s="25">
        <v>34007</v>
      </c>
      <c r="J189" s="25">
        <v>185962</v>
      </c>
      <c r="K189" s="25">
        <v>5520168</v>
      </c>
      <c r="L189" s="25">
        <v>4808357</v>
      </c>
      <c r="M189" s="25">
        <v>10328525</v>
      </c>
      <c r="N189" s="31">
        <v>0.53</v>
      </c>
      <c r="O189" s="25">
        <v>79035</v>
      </c>
      <c r="P189" s="25">
        <v>390784</v>
      </c>
      <c r="Q189" s="25">
        <v>43558</v>
      </c>
      <c r="R189" s="25">
        <v>2743</v>
      </c>
      <c r="S189" s="25">
        <v>1670</v>
      </c>
      <c r="T189" s="25">
        <v>10418</v>
      </c>
      <c r="U189" s="61">
        <v>1571</v>
      </c>
      <c r="V189" s="58">
        <v>4.4000000000000003E-3</v>
      </c>
      <c r="W189" s="33">
        <v>4.0000000000000001E-3</v>
      </c>
      <c r="X189" s="33">
        <v>4.7000000000000002E-3</v>
      </c>
      <c r="Y189" s="33">
        <v>2.0999999999999999E-3</v>
      </c>
      <c r="Z189" s="33">
        <v>5.3E-3</v>
      </c>
      <c r="AA189" s="33">
        <v>8.0999999999999996E-3</v>
      </c>
      <c r="AB189" s="25">
        <v>1682</v>
      </c>
      <c r="AC189" s="25">
        <v>1008</v>
      </c>
      <c r="AD189" s="25">
        <v>19</v>
      </c>
      <c r="AE189" s="25">
        <v>70</v>
      </c>
      <c r="AF189" s="25">
        <v>572</v>
      </c>
      <c r="AG189" s="25">
        <v>8</v>
      </c>
      <c r="AH189" s="25">
        <v>5</v>
      </c>
      <c r="AI189" s="12">
        <v>3.83</v>
      </c>
      <c r="AJ189" s="25">
        <v>206908</v>
      </c>
      <c r="AK189" s="25">
        <v>67669</v>
      </c>
      <c r="AL189" s="33">
        <v>0.48599999999999999</v>
      </c>
      <c r="AM189" s="3" t="s">
        <v>3127</v>
      </c>
      <c r="AN189" s="12" t="s">
        <v>3106</v>
      </c>
      <c r="AO189" s="12" t="s">
        <v>3106</v>
      </c>
      <c r="AP189" s="12" t="str">
        <f>"194997200845312"</f>
        <v>194997200845312</v>
      </c>
      <c r="AQ189" s="12" t="s">
        <v>3179</v>
      </c>
      <c r="AR189" s="12" t="s">
        <v>3242</v>
      </c>
      <c r="AS189" s="12"/>
      <c r="AT189" s="12"/>
      <c r="AU189" s="12" t="s">
        <v>309</v>
      </c>
      <c r="AV189" s="12"/>
      <c r="AW189" s="12"/>
      <c r="AX189" s="12">
        <v>0</v>
      </c>
      <c r="AY189" s="12">
        <v>12180</v>
      </c>
      <c r="AZ189" s="12">
        <v>0</v>
      </c>
      <c r="BA189" s="12" t="s">
        <v>3243</v>
      </c>
      <c r="BB189" s="12"/>
      <c r="BC189" s="12" t="s">
        <v>6756</v>
      </c>
      <c r="BD189" s="12"/>
      <c r="BE189" s="12" t="s">
        <v>2291</v>
      </c>
      <c r="BF189" s="12"/>
      <c r="BG189" s="12"/>
      <c r="BH189" s="12"/>
      <c r="BI189" s="12"/>
      <c r="BJ189" s="12"/>
      <c r="BK189" s="12"/>
      <c r="BL189" s="12" t="s">
        <v>2292</v>
      </c>
      <c r="BM189" s="12" t="s">
        <v>2292</v>
      </c>
      <c r="BN189" s="12" t="s">
        <v>2292</v>
      </c>
      <c r="BO189" s="12" t="s">
        <v>2291</v>
      </c>
      <c r="BP189" s="12"/>
      <c r="BQ189" s="12"/>
      <c r="BR189" s="12"/>
      <c r="BS189" s="12"/>
      <c r="BT189" s="12"/>
      <c r="BU189" s="12"/>
      <c r="BV189" s="12"/>
      <c r="BW189" s="12"/>
      <c r="BX189" s="12"/>
      <c r="BY189" s="13" t="s">
        <v>313</v>
      </c>
      <c r="BZ189" s="13" t="s">
        <v>312</v>
      </c>
      <c r="CA189" s="13" t="s">
        <v>6170</v>
      </c>
      <c r="CB189" s="13" t="s">
        <v>6197</v>
      </c>
      <c r="CC189" s="13"/>
      <c r="CD189" s="13" t="s">
        <v>6198</v>
      </c>
      <c r="CE189" s="13"/>
      <c r="CF189" s="13"/>
    </row>
    <row r="190" spans="1:84" ht="18.600000000000001" customHeight="1" x14ac:dyDescent="0.25">
      <c r="A190" s="60" t="s">
        <v>69</v>
      </c>
      <c r="B190" s="2" t="s">
        <v>315</v>
      </c>
      <c r="C190" s="3" t="s">
        <v>2516</v>
      </c>
      <c r="D190" s="12" t="s">
        <v>860</v>
      </c>
      <c r="E190" s="12" t="s">
        <v>859</v>
      </c>
      <c r="F190" s="12" t="s">
        <v>4064</v>
      </c>
      <c r="G190" s="25">
        <v>296600</v>
      </c>
      <c r="H190" s="25">
        <v>234360</v>
      </c>
      <c r="I190" s="25">
        <v>5861</v>
      </c>
      <c r="J190" s="25">
        <v>45285</v>
      </c>
      <c r="K190" s="25">
        <v>407273</v>
      </c>
      <c r="L190" s="25">
        <v>357788</v>
      </c>
      <c r="M190" s="25">
        <v>765061</v>
      </c>
      <c r="N190" s="31">
        <v>0.53</v>
      </c>
      <c r="O190" s="25">
        <v>565917</v>
      </c>
      <c r="P190" s="25">
        <v>117021</v>
      </c>
      <c r="Q190" s="25">
        <v>8039</v>
      </c>
      <c r="R190" s="25">
        <v>855</v>
      </c>
      <c r="S190" s="25">
        <v>631</v>
      </c>
      <c r="T190" s="25">
        <v>1280</v>
      </c>
      <c r="U190" s="61">
        <v>286</v>
      </c>
      <c r="V190" s="58">
        <v>6.9999999999999999E-4</v>
      </c>
      <c r="W190" s="33">
        <v>6.9999999999999999E-4</v>
      </c>
      <c r="X190" s="33">
        <v>6.9999999999999999E-4</v>
      </c>
      <c r="Y190" s="33">
        <v>1E-4</v>
      </c>
      <c r="Z190" s="33">
        <v>1.6999999999999999E-3</v>
      </c>
      <c r="AA190" s="33">
        <v>6.9999999999999999E-4</v>
      </c>
      <c r="AB190" s="25">
        <v>2617</v>
      </c>
      <c r="AC190" s="25">
        <v>1220</v>
      </c>
      <c r="AD190" s="25">
        <v>1045</v>
      </c>
      <c r="AE190" s="25">
        <v>7</v>
      </c>
      <c r="AF190" s="25">
        <v>69</v>
      </c>
      <c r="AG190" s="25">
        <v>231</v>
      </c>
      <c r="AH190" s="25">
        <v>45</v>
      </c>
      <c r="AI190" s="12">
        <v>5.96</v>
      </c>
      <c r="AJ190" s="25">
        <v>169421</v>
      </c>
      <c r="AK190" s="25">
        <v>20961</v>
      </c>
      <c r="AL190" s="33">
        <v>0.14119999999999999</v>
      </c>
      <c r="AM190" s="3" t="s">
        <v>2516</v>
      </c>
      <c r="AN190" s="12" t="s">
        <v>859</v>
      </c>
      <c r="AO190" s="12" t="s">
        <v>859</v>
      </c>
      <c r="AP190" s="12" t="str">
        <f>"137784719692774"</f>
        <v>137784719692774</v>
      </c>
      <c r="AQ190" s="12" t="s">
        <v>860</v>
      </c>
      <c r="AR190" s="12" t="s">
        <v>4685</v>
      </c>
      <c r="AS190" s="12" t="s">
        <v>861</v>
      </c>
      <c r="AT190" s="12"/>
      <c r="AU190" s="12" t="s">
        <v>324</v>
      </c>
      <c r="AV190" s="12" t="s">
        <v>5731</v>
      </c>
      <c r="AW190" s="12"/>
      <c r="AX190" s="12">
        <v>1569</v>
      </c>
      <c r="AY190" s="12">
        <v>1324</v>
      </c>
      <c r="AZ190" s="12">
        <v>1569</v>
      </c>
      <c r="BA190" s="12" t="s">
        <v>862</v>
      </c>
      <c r="BB190" s="12" t="s">
        <v>6579</v>
      </c>
      <c r="BC190" s="12" t="s">
        <v>6580</v>
      </c>
      <c r="BD190" s="12"/>
      <c r="BE190" s="12" t="s">
        <v>2291</v>
      </c>
      <c r="BF190" s="12"/>
      <c r="BG190" s="12"/>
      <c r="BH190" s="12"/>
      <c r="BI190" s="12" t="s">
        <v>861</v>
      </c>
      <c r="BJ190" s="12"/>
      <c r="BK190" s="12" t="s">
        <v>6581</v>
      </c>
      <c r="BL190" s="12" t="s">
        <v>2292</v>
      </c>
      <c r="BM190" s="12" t="s">
        <v>2292</v>
      </c>
      <c r="BN190" s="12" t="s">
        <v>2292</v>
      </c>
      <c r="BO190" s="12" t="s">
        <v>2291</v>
      </c>
      <c r="BP190" s="12"/>
      <c r="BQ190" s="12"/>
      <c r="BR190" s="12"/>
      <c r="BS190" s="12"/>
      <c r="BT190" s="12" t="s">
        <v>863</v>
      </c>
      <c r="BU190" s="12" t="s">
        <v>326</v>
      </c>
      <c r="BV190" s="12"/>
      <c r="BW190" s="12" t="s">
        <v>864</v>
      </c>
      <c r="BX190" s="12"/>
      <c r="BY190" s="13" t="s">
        <v>313</v>
      </c>
      <c r="BZ190" s="13" t="s">
        <v>6172</v>
      </c>
      <c r="CA190" s="13" t="s">
        <v>6170</v>
      </c>
      <c r="CB190" s="13" t="s">
        <v>6201</v>
      </c>
      <c r="CC190" s="13"/>
      <c r="CD190" s="13" t="s">
        <v>6198</v>
      </c>
      <c r="CE190" s="13" t="s">
        <v>6175</v>
      </c>
      <c r="CF190" s="13"/>
    </row>
    <row r="191" spans="1:84" ht="18.600000000000001" customHeight="1" x14ac:dyDescent="0.25">
      <c r="A191" s="60" t="s">
        <v>69</v>
      </c>
      <c r="B191" s="2" t="s">
        <v>335</v>
      </c>
      <c r="C191" s="3" t="s">
        <v>2713</v>
      </c>
      <c r="D191" s="12" t="s">
        <v>4694</v>
      </c>
      <c r="E191" s="12" t="s">
        <v>865</v>
      </c>
      <c r="F191" s="12" t="s">
        <v>4181</v>
      </c>
      <c r="G191" s="25">
        <v>90266</v>
      </c>
      <c r="H191" s="25">
        <v>68307</v>
      </c>
      <c r="I191" s="25">
        <v>1486</v>
      </c>
      <c r="J191" s="25">
        <v>18254</v>
      </c>
      <c r="K191" s="25">
        <v>371191</v>
      </c>
      <c r="L191" s="25">
        <v>512378</v>
      </c>
      <c r="M191" s="25">
        <v>883569</v>
      </c>
      <c r="N191" s="31">
        <v>0.42</v>
      </c>
      <c r="O191" s="25">
        <v>45055</v>
      </c>
      <c r="P191" s="25">
        <v>48299</v>
      </c>
      <c r="Q191" s="25">
        <v>1517</v>
      </c>
      <c r="R191" s="25">
        <v>67</v>
      </c>
      <c r="S191" s="25">
        <v>64</v>
      </c>
      <c r="T191" s="25">
        <v>515</v>
      </c>
      <c r="U191" s="61">
        <v>53</v>
      </c>
      <c r="V191" s="58">
        <v>8.0000000000000004E-4</v>
      </c>
      <c r="W191" s="33">
        <v>6.9999999999999999E-4</v>
      </c>
      <c r="X191" s="33">
        <v>5.9999999999999995E-4</v>
      </c>
      <c r="Y191" s="33">
        <v>0</v>
      </c>
      <c r="Z191" s="33">
        <v>1.4E-3</v>
      </c>
      <c r="AA191" s="33">
        <v>8.0000000000000004E-4</v>
      </c>
      <c r="AB191" s="25">
        <v>2272</v>
      </c>
      <c r="AC191" s="25">
        <v>1334</v>
      </c>
      <c r="AD191" s="25">
        <v>377</v>
      </c>
      <c r="AE191" s="25">
        <v>1</v>
      </c>
      <c r="AF191" s="25">
        <v>461</v>
      </c>
      <c r="AG191" s="25">
        <v>68</v>
      </c>
      <c r="AH191" s="25">
        <v>31</v>
      </c>
      <c r="AI191" s="12">
        <v>5.18</v>
      </c>
      <c r="AJ191" s="25">
        <v>51301</v>
      </c>
      <c r="AK191" s="25">
        <v>9362</v>
      </c>
      <c r="AL191" s="33">
        <v>0.22320000000000001</v>
      </c>
      <c r="AM191" s="3" t="s">
        <v>2713</v>
      </c>
      <c r="AN191" s="12" t="s">
        <v>865</v>
      </c>
      <c r="AO191" s="12" t="s">
        <v>865</v>
      </c>
      <c r="AP191" s="12" t="str">
        <f>"99707100898"</f>
        <v>99707100898</v>
      </c>
      <c r="AQ191" s="12" t="s">
        <v>4694</v>
      </c>
      <c r="AR191" s="12" t="s">
        <v>866</v>
      </c>
      <c r="AS191" s="12" t="s">
        <v>867</v>
      </c>
      <c r="AT191" s="12"/>
      <c r="AU191" s="12" t="s">
        <v>324</v>
      </c>
      <c r="AV191" s="12" t="s">
        <v>5902</v>
      </c>
      <c r="AW191" s="12"/>
      <c r="AX191" s="12">
        <v>528</v>
      </c>
      <c r="AY191" s="12">
        <v>672</v>
      </c>
      <c r="AZ191" s="12">
        <v>528</v>
      </c>
      <c r="BA191" s="12" t="s">
        <v>868</v>
      </c>
      <c r="BB191" s="12" t="s">
        <v>6836</v>
      </c>
      <c r="BC191" s="12" t="s">
        <v>6837</v>
      </c>
      <c r="BD191" s="12"/>
      <c r="BE191" s="12" t="s">
        <v>2291</v>
      </c>
      <c r="BF191" s="12"/>
      <c r="BG191" s="12"/>
      <c r="BH191" s="12"/>
      <c r="BI191" s="12" t="s">
        <v>867</v>
      </c>
      <c r="BJ191" s="12" t="s">
        <v>869</v>
      </c>
      <c r="BK191" s="12" t="s">
        <v>6581</v>
      </c>
      <c r="BL191" s="12" t="s">
        <v>2292</v>
      </c>
      <c r="BM191" s="12" t="s">
        <v>2292</v>
      </c>
      <c r="BN191" s="12" t="s">
        <v>2292</v>
      </c>
      <c r="BO191" s="12" t="s">
        <v>2291</v>
      </c>
      <c r="BP191" s="12"/>
      <c r="BQ191" s="12"/>
      <c r="BR191" s="12"/>
      <c r="BS191" s="12"/>
      <c r="BT191" s="12">
        <v>995322945000</v>
      </c>
      <c r="BU191" s="12" t="s">
        <v>326</v>
      </c>
      <c r="BV191" s="12"/>
      <c r="BW191" s="12" t="s">
        <v>870</v>
      </c>
      <c r="BX191" s="12"/>
      <c r="BY191" s="13" t="s">
        <v>313</v>
      </c>
      <c r="BZ191" s="13" t="s">
        <v>6172</v>
      </c>
      <c r="CA191" s="13" t="s">
        <v>6170</v>
      </c>
      <c r="CB191" s="13" t="s">
        <v>6197</v>
      </c>
      <c r="CC191" s="13"/>
      <c r="CD191" s="13" t="s">
        <v>6198</v>
      </c>
      <c r="CE191" s="13"/>
      <c r="CF191" s="13"/>
    </row>
    <row r="192" spans="1:84" ht="18.600000000000001" customHeight="1" x14ac:dyDescent="0.25">
      <c r="A192" s="60" t="s">
        <v>70</v>
      </c>
      <c r="B192" s="2" t="s">
        <v>874</v>
      </c>
      <c r="C192" s="3" t="s">
        <v>2810</v>
      </c>
      <c r="D192" s="12" t="s">
        <v>871</v>
      </c>
      <c r="E192" s="12" t="s">
        <v>71</v>
      </c>
      <c r="F192" s="12" t="s">
        <v>4239</v>
      </c>
      <c r="G192" s="25">
        <v>113580024</v>
      </c>
      <c r="H192" s="25">
        <v>103635891</v>
      </c>
      <c r="I192" s="25">
        <v>2617146</v>
      </c>
      <c r="J192" s="25">
        <v>3978298</v>
      </c>
      <c r="K192" s="25">
        <v>112439345</v>
      </c>
      <c r="L192" s="25">
        <v>19486023</v>
      </c>
      <c r="M192" s="25">
        <v>131925368</v>
      </c>
      <c r="N192" s="31">
        <v>0.85</v>
      </c>
      <c r="O192" s="25">
        <v>0</v>
      </c>
      <c r="P192" s="25">
        <v>21910939</v>
      </c>
      <c r="Q192" s="25">
        <v>2445341</v>
      </c>
      <c r="R192" s="25">
        <v>487935</v>
      </c>
      <c r="S192" s="25">
        <v>155957</v>
      </c>
      <c r="T192" s="25">
        <v>140116</v>
      </c>
      <c r="U192" s="61">
        <v>87442</v>
      </c>
      <c r="V192" s="58">
        <v>3.0000000000000001E-3</v>
      </c>
      <c r="W192" s="33">
        <v>3.5999999999999999E-3</v>
      </c>
      <c r="X192" s="33">
        <v>1.4E-3</v>
      </c>
      <c r="Y192" s="33">
        <v>3.0999999999999999E-3</v>
      </c>
      <c r="Z192" s="33">
        <v>2E-3</v>
      </c>
      <c r="AA192" s="33">
        <v>1.1999999999999999E-3</v>
      </c>
      <c r="AB192" s="25">
        <v>901</v>
      </c>
      <c r="AC192" s="25">
        <v>593</v>
      </c>
      <c r="AD192" s="25">
        <v>80</v>
      </c>
      <c r="AE192" s="25">
        <v>43</v>
      </c>
      <c r="AF192" s="25">
        <v>183</v>
      </c>
      <c r="AG192" s="25">
        <v>0</v>
      </c>
      <c r="AH192" s="25">
        <v>2</v>
      </c>
      <c r="AI192" s="12">
        <v>2.0499999999999998</v>
      </c>
      <c r="AJ192" s="25">
        <v>43249278</v>
      </c>
      <c r="AK192" s="25">
        <v>4399996</v>
      </c>
      <c r="AL192" s="33">
        <v>0.1133</v>
      </c>
      <c r="AM192" s="3" t="s">
        <v>2810</v>
      </c>
      <c r="AN192" s="12" t="s">
        <v>71</v>
      </c>
      <c r="AO192" s="12" t="s">
        <v>71</v>
      </c>
      <c r="AP192" s="12" t="str">
        <f>"177526890164"</f>
        <v>177526890164</v>
      </c>
      <c r="AQ192" s="12" t="s">
        <v>871</v>
      </c>
      <c r="AR192" s="12" t="s">
        <v>872</v>
      </c>
      <c r="AS192" s="12" t="s">
        <v>2811</v>
      </c>
      <c r="AT192" s="12" t="s">
        <v>2812</v>
      </c>
      <c r="AU192" s="12" t="s">
        <v>309</v>
      </c>
      <c r="AV192" s="12"/>
      <c r="AW192" s="12"/>
      <c r="AX192" s="12">
        <v>0</v>
      </c>
      <c r="AY192" s="12">
        <v>626188</v>
      </c>
      <c r="AZ192" s="12">
        <v>0</v>
      </c>
      <c r="BA192" s="12" t="s">
        <v>873</v>
      </c>
      <c r="BB192" s="12"/>
      <c r="BC192" s="12" t="s">
        <v>6976</v>
      </c>
      <c r="BD192" s="12"/>
      <c r="BE192" s="12" t="s">
        <v>2291</v>
      </c>
      <c r="BF192" s="12"/>
      <c r="BG192" s="12"/>
      <c r="BH192" s="12"/>
      <c r="BI192" s="12"/>
      <c r="BJ192" s="12"/>
      <c r="BK192" s="12"/>
      <c r="BL192" s="12" t="s">
        <v>2292</v>
      </c>
      <c r="BM192" s="12" t="s">
        <v>2292</v>
      </c>
      <c r="BN192" s="12" t="s">
        <v>2292</v>
      </c>
      <c r="BO192" s="12" t="s">
        <v>2291</v>
      </c>
      <c r="BP192" s="12"/>
      <c r="BQ192" s="12"/>
      <c r="BR192" s="12"/>
      <c r="BS192" s="12"/>
      <c r="BT192" s="12"/>
      <c r="BU192" s="12"/>
      <c r="BV192" s="12"/>
      <c r="BW192" s="12"/>
      <c r="BX192" s="12"/>
      <c r="BY192" s="13" t="s">
        <v>313</v>
      </c>
      <c r="BZ192" s="13" t="s">
        <v>6168</v>
      </c>
      <c r="CA192" s="13"/>
      <c r="CB192" s="13"/>
      <c r="CC192" s="13"/>
      <c r="CD192" s="13"/>
      <c r="CE192" s="13"/>
      <c r="CF192" s="13"/>
    </row>
    <row r="193" spans="1:84" ht="18.600000000000001" customHeight="1" x14ac:dyDescent="0.25">
      <c r="A193" s="60" t="s">
        <v>70</v>
      </c>
      <c r="B193" s="2" t="s">
        <v>874</v>
      </c>
      <c r="C193" s="3" t="s">
        <v>2852</v>
      </c>
      <c r="D193" s="12" t="s">
        <v>875</v>
      </c>
      <c r="E193" s="12" t="s">
        <v>72</v>
      </c>
      <c r="F193" s="12" t="s">
        <v>4269</v>
      </c>
      <c r="G193" s="25">
        <v>14305334</v>
      </c>
      <c r="H193" s="25">
        <v>13376412</v>
      </c>
      <c r="I193" s="25">
        <v>236709</v>
      </c>
      <c r="J193" s="25">
        <v>426435</v>
      </c>
      <c r="K193" s="25">
        <v>11031034</v>
      </c>
      <c r="L193" s="25">
        <v>1839945</v>
      </c>
      <c r="M193" s="25">
        <v>12870979</v>
      </c>
      <c r="N193" s="31">
        <v>0.86</v>
      </c>
      <c r="O193" s="25">
        <v>0</v>
      </c>
      <c r="P193" s="25">
        <v>1882314</v>
      </c>
      <c r="Q193" s="25">
        <v>193417</v>
      </c>
      <c r="R193" s="25">
        <v>50414</v>
      </c>
      <c r="S193" s="25">
        <v>10531</v>
      </c>
      <c r="T193" s="25">
        <v>3577</v>
      </c>
      <c r="U193" s="61">
        <v>6215</v>
      </c>
      <c r="V193" s="58">
        <v>3.3E-3</v>
      </c>
      <c r="W193" s="33">
        <v>3.8E-3</v>
      </c>
      <c r="X193" s="33">
        <v>8.0000000000000004E-4</v>
      </c>
      <c r="Y193" s="12" t="s">
        <v>3926</v>
      </c>
      <c r="Z193" s="33">
        <v>1.8E-3</v>
      </c>
      <c r="AA193" s="33">
        <v>6.9999999999999999E-4</v>
      </c>
      <c r="AB193" s="25">
        <v>319</v>
      </c>
      <c r="AC193" s="25">
        <v>262</v>
      </c>
      <c r="AD193" s="25">
        <v>20</v>
      </c>
      <c r="AE193" s="25">
        <v>0</v>
      </c>
      <c r="AF193" s="25">
        <v>35</v>
      </c>
      <c r="AG193" s="25">
        <v>0</v>
      </c>
      <c r="AH193" s="25">
        <v>2</v>
      </c>
      <c r="AI193" s="12">
        <v>0.73</v>
      </c>
      <c r="AJ193" s="25">
        <v>13877054</v>
      </c>
      <c r="AK193" s="25">
        <v>925909</v>
      </c>
      <c r="AL193" s="33">
        <v>7.1499999999999994E-2</v>
      </c>
      <c r="AM193" s="3" t="s">
        <v>2852</v>
      </c>
      <c r="AN193" s="12" t="s">
        <v>72</v>
      </c>
      <c r="AO193" s="12" t="s">
        <v>72</v>
      </c>
      <c r="AP193" s="12" t="str">
        <f>"478216262309083"</f>
        <v>478216262309083</v>
      </c>
      <c r="AQ193" s="12" t="s">
        <v>875</v>
      </c>
      <c r="AR193" s="12" t="s">
        <v>4704</v>
      </c>
      <c r="AS193" s="12" t="s">
        <v>2853</v>
      </c>
      <c r="AT193" s="12"/>
      <c r="AU193" s="12" t="s">
        <v>324</v>
      </c>
      <c r="AV193" s="12" t="s">
        <v>5797</v>
      </c>
      <c r="AW193" s="12"/>
      <c r="AX193" s="12">
        <v>129831</v>
      </c>
      <c r="AY193" s="12">
        <v>99731</v>
      </c>
      <c r="AZ193" s="12">
        <v>0</v>
      </c>
      <c r="BA193" s="12" t="s">
        <v>876</v>
      </c>
      <c r="BB193" s="12" t="s">
        <v>7042</v>
      </c>
      <c r="BC193" s="12" t="s">
        <v>7043</v>
      </c>
      <c r="BD193" s="12"/>
      <c r="BE193" s="12" t="s">
        <v>2291</v>
      </c>
      <c r="BF193" s="12"/>
      <c r="BG193" s="12"/>
      <c r="BH193" s="12"/>
      <c r="BI193" s="12"/>
      <c r="BJ193" s="12"/>
      <c r="BK193" s="12"/>
      <c r="BL193" s="12" t="s">
        <v>2292</v>
      </c>
      <c r="BM193" s="12" t="s">
        <v>2292</v>
      </c>
      <c r="BN193" s="12" t="s">
        <v>2292</v>
      </c>
      <c r="BO193" s="12" t="s">
        <v>2291</v>
      </c>
      <c r="BP193" s="12"/>
      <c r="BQ193" s="12"/>
      <c r="BR193" s="12"/>
      <c r="BS193" s="12"/>
      <c r="BT193" s="12"/>
      <c r="BU193" s="12" t="s">
        <v>326</v>
      </c>
      <c r="BV193" s="12"/>
      <c r="BW193" s="12" t="s">
        <v>5970</v>
      </c>
      <c r="BX193" s="12"/>
      <c r="BY193" s="13" t="s">
        <v>313</v>
      </c>
      <c r="BZ193" s="13" t="s">
        <v>312</v>
      </c>
      <c r="CA193" s="13"/>
      <c r="CB193" s="13"/>
      <c r="CC193" s="13"/>
      <c r="CD193" s="13"/>
      <c r="CE193" s="13"/>
      <c r="CF193" s="13"/>
    </row>
    <row r="194" spans="1:84" ht="18.600000000000001" customHeight="1" x14ac:dyDescent="0.25">
      <c r="A194" s="60" t="s">
        <v>70</v>
      </c>
      <c r="B194" s="2" t="s">
        <v>884</v>
      </c>
      <c r="C194" s="3" t="s">
        <v>3013</v>
      </c>
      <c r="D194" s="12" t="s">
        <v>877</v>
      </c>
      <c r="E194" s="12" t="s">
        <v>878</v>
      </c>
      <c r="F194" s="12" t="s">
        <v>4376</v>
      </c>
      <c r="G194" s="25">
        <v>97716</v>
      </c>
      <c r="H194" s="25">
        <v>85173</v>
      </c>
      <c r="I194" s="25">
        <v>6081</v>
      </c>
      <c r="J194" s="25">
        <v>2987</v>
      </c>
      <c r="K194" s="25">
        <v>37989</v>
      </c>
      <c r="L194" s="25">
        <v>2621</v>
      </c>
      <c r="M194" s="25">
        <v>40610</v>
      </c>
      <c r="N194" s="31">
        <v>0.94</v>
      </c>
      <c r="O194" s="25">
        <v>0</v>
      </c>
      <c r="P194" s="25">
        <v>21056</v>
      </c>
      <c r="Q194" s="25">
        <v>2079</v>
      </c>
      <c r="R194" s="25">
        <v>301</v>
      </c>
      <c r="S194" s="25">
        <v>656</v>
      </c>
      <c r="T194" s="25">
        <v>206</v>
      </c>
      <c r="U194" s="61">
        <v>233</v>
      </c>
      <c r="V194" s="58">
        <v>4.0000000000000002E-4</v>
      </c>
      <c r="W194" s="33">
        <v>2.9999999999999997E-4</v>
      </c>
      <c r="X194" s="33">
        <v>5.9999999999999995E-4</v>
      </c>
      <c r="Y194" s="33">
        <v>2.9999999999999997E-4</v>
      </c>
      <c r="Z194" s="33">
        <v>1E-3</v>
      </c>
      <c r="AA194" s="33">
        <v>2.0000000000000001E-4</v>
      </c>
      <c r="AB194" s="25">
        <v>95</v>
      </c>
      <c r="AC194" s="25">
        <v>1</v>
      </c>
      <c r="AD194" s="25">
        <v>2</v>
      </c>
      <c r="AE194" s="25">
        <v>88</v>
      </c>
      <c r="AF194" s="25">
        <v>1</v>
      </c>
      <c r="AG194" s="25">
        <v>0</v>
      </c>
      <c r="AH194" s="25">
        <v>3</v>
      </c>
      <c r="AI194" s="12">
        <v>0.22</v>
      </c>
      <c r="AJ194" s="25">
        <v>2944912</v>
      </c>
      <c r="AK194" s="25">
        <v>239282</v>
      </c>
      <c r="AL194" s="33">
        <v>8.8400000000000006E-2</v>
      </c>
      <c r="AM194" s="3" t="s">
        <v>3013</v>
      </c>
      <c r="AN194" s="12" t="s">
        <v>878</v>
      </c>
      <c r="AO194" s="12" t="s">
        <v>878</v>
      </c>
      <c r="AP194" s="12" t="str">
        <f>"150381141768053"</f>
        <v>150381141768053</v>
      </c>
      <c r="AQ194" s="12" t="s">
        <v>877</v>
      </c>
      <c r="AR194" s="12" t="s">
        <v>879</v>
      </c>
      <c r="AS194" s="12" t="s">
        <v>3014</v>
      </c>
      <c r="AT194" s="12" t="s">
        <v>880</v>
      </c>
      <c r="AU194" s="12" t="s">
        <v>4814</v>
      </c>
      <c r="AV194" s="12" t="s">
        <v>6032</v>
      </c>
      <c r="AW194" s="12"/>
      <c r="AX194" s="12">
        <v>843</v>
      </c>
      <c r="AY194" s="12">
        <v>27539</v>
      </c>
      <c r="AZ194" s="12">
        <v>843</v>
      </c>
      <c r="BA194" s="12" t="s">
        <v>881</v>
      </c>
      <c r="BB194" s="12" t="s">
        <v>7277</v>
      </c>
      <c r="BC194" s="12" t="s">
        <v>7278</v>
      </c>
      <c r="BD194" s="12" t="s">
        <v>882</v>
      </c>
      <c r="BE194" s="12" t="s">
        <v>2291</v>
      </c>
      <c r="BF194" s="12"/>
      <c r="BG194" s="12"/>
      <c r="BH194" s="12"/>
      <c r="BI194" s="12"/>
      <c r="BJ194" s="12"/>
      <c r="BK194" s="12"/>
      <c r="BL194" s="12" t="s">
        <v>2292</v>
      </c>
      <c r="BM194" s="12" t="s">
        <v>2292</v>
      </c>
      <c r="BN194" s="12" t="s">
        <v>2292</v>
      </c>
      <c r="BO194" s="12" t="s">
        <v>2291</v>
      </c>
      <c r="BP194" s="12"/>
      <c r="BQ194" s="12"/>
      <c r="BR194" s="12"/>
      <c r="BS194" s="12" t="s">
        <v>3015</v>
      </c>
      <c r="BT194" s="12" t="s">
        <v>883</v>
      </c>
      <c r="BU194" s="12" t="s">
        <v>326</v>
      </c>
      <c r="BV194" s="12"/>
      <c r="BW194" s="12" t="s">
        <v>6033</v>
      </c>
      <c r="BX194" s="12"/>
      <c r="BY194" s="13" t="s">
        <v>313</v>
      </c>
      <c r="BZ194" s="13" t="s">
        <v>312</v>
      </c>
      <c r="CA194" s="13"/>
      <c r="CB194" s="13"/>
      <c r="CC194" s="13"/>
      <c r="CD194" s="13"/>
      <c r="CE194" s="13"/>
      <c r="CF194" s="13"/>
    </row>
    <row r="195" spans="1:84" ht="18.600000000000001" customHeight="1" x14ac:dyDescent="0.25">
      <c r="A195" s="60" t="s">
        <v>70</v>
      </c>
      <c r="B195" s="2" t="s">
        <v>335</v>
      </c>
      <c r="C195" s="3" t="s">
        <v>2681</v>
      </c>
      <c r="D195" s="12" t="s">
        <v>3615</v>
      </c>
      <c r="E195" s="12" t="s">
        <v>885</v>
      </c>
      <c r="F195" s="12" t="s">
        <v>4167</v>
      </c>
      <c r="G195" s="25">
        <v>2873264</v>
      </c>
      <c r="H195" s="25">
        <v>2567696</v>
      </c>
      <c r="I195" s="25">
        <v>29312</v>
      </c>
      <c r="J195" s="25">
        <v>200312</v>
      </c>
      <c r="K195" s="25">
        <v>3101989</v>
      </c>
      <c r="L195" s="25">
        <v>831493</v>
      </c>
      <c r="M195" s="25">
        <v>3933482</v>
      </c>
      <c r="N195" s="31">
        <v>0.79</v>
      </c>
      <c r="O195" s="25">
        <v>1162468</v>
      </c>
      <c r="P195" s="25">
        <v>1074945</v>
      </c>
      <c r="Q195" s="25">
        <v>55501</v>
      </c>
      <c r="R195" s="25">
        <v>15943</v>
      </c>
      <c r="S195" s="25">
        <v>2451</v>
      </c>
      <c r="T195" s="25">
        <v>547</v>
      </c>
      <c r="U195" s="61">
        <v>1111</v>
      </c>
      <c r="V195" s="58">
        <v>2.0000000000000001E-4</v>
      </c>
      <c r="W195" s="33">
        <v>2.9999999999999997E-4</v>
      </c>
      <c r="X195" s="33">
        <v>1E-4</v>
      </c>
      <c r="Y195" s="33">
        <v>0</v>
      </c>
      <c r="Z195" s="33">
        <v>2.9999999999999997E-4</v>
      </c>
      <c r="AA195" s="33">
        <v>1E-4</v>
      </c>
      <c r="AB195" s="25">
        <v>5769</v>
      </c>
      <c r="AC195" s="25">
        <v>4928</v>
      </c>
      <c r="AD195" s="25">
        <v>322</v>
      </c>
      <c r="AE195" s="25">
        <v>43</v>
      </c>
      <c r="AF195" s="25">
        <v>300</v>
      </c>
      <c r="AG195" s="25">
        <v>134</v>
      </c>
      <c r="AH195" s="25">
        <v>42</v>
      </c>
      <c r="AI195" s="12">
        <v>13.14</v>
      </c>
      <c r="AJ195" s="25">
        <v>2084722</v>
      </c>
      <c r="AK195" s="25">
        <v>67650</v>
      </c>
      <c r="AL195" s="33">
        <v>3.3500000000000002E-2</v>
      </c>
      <c r="AM195" s="3" t="s">
        <v>2681</v>
      </c>
      <c r="AN195" s="12" t="s">
        <v>885</v>
      </c>
      <c r="AO195" s="12" t="s">
        <v>885</v>
      </c>
      <c r="AP195" s="12" t="str">
        <f>"336581866363618"</f>
        <v>336581866363618</v>
      </c>
      <c r="AQ195" s="12" t="s">
        <v>3615</v>
      </c>
      <c r="AR195" s="12" t="s">
        <v>886</v>
      </c>
      <c r="AS195" s="12" t="s">
        <v>3616</v>
      </c>
      <c r="AT195" s="12"/>
      <c r="AU195" s="12" t="s">
        <v>324</v>
      </c>
      <c r="AV195" s="12" t="s">
        <v>5769</v>
      </c>
      <c r="AW195" s="12">
        <v>1947</v>
      </c>
      <c r="AX195" s="12">
        <v>12375</v>
      </c>
      <c r="AY195" s="12">
        <v>19310</v>
      </c>
      <c r="AZ195" s="12">
        <v>12375</v>
      </c>
      <c r="BA195" s="12" t="s">
        <v>887</v>
      </c>
      <c r="BB195" s="12" t="s">
        <v>6807</v>
      </c>
      <c r="BC195" s="12" t="s">
        <v>6808</v>
      </c>
      <c r="BD195" s="12"/>
      <c r="BE195" s="12" t="s">
        <v>2291</v>
      </c>
      <c r="BF195" s="12"/>
      <c r="BG195" s="12"/>
      <c r="BH195" s="12"/>
      <c r="BI195" s="12" t="s">
        <v>2682</v>
      </c>
      <c r="BJ195" s="12" t="s">
        <v>2683</v>
      </c>
      <c r="BK195" s="12"/>
      <c r="BL195" s="12" t="s">
        <v>2292</v>
      </c>
      <c r="BM195" s="12" t="s">
        <v>2292</v>
      </c>
      <c r="BN195" s="12" t="s">
        <v>2292</v>
      </c>
      <c r="BO195" s="12" t="s">
        <v>2291</v>
      </c>
      <c r="BP195" s="12" t="s">
        <v>2684</v>
      </c>
      <c r="BQ195" s="12"/>
      <c r="BR195" s="12"/>
      <c r="BS195" s="12"/>
      <c r="BT195" s="12"/>
      <c r="BU195" s="12" t="s">
        <v>326</v>
      </c>
      <c r="BV195" s="12" t="s">
        <v>3617</v>
      </c>
      <c r="BW195" s="12" t="s">
        <v>5898</v>
      </c>
      <c r="BX195" s="12"/>
      <c r="BY195" s="13" t="s">
        <v>313</v>
      </c>
      <c r="BZ195" s="13" t="s">
        <v>6168</v>
      </c>
      <c r="CA195" s="13" t="s">
        <v>6170</v>
      </c>
      <c r="CB195" s="13" t="s">
        <v>312</v>
      </c>
      <c r="CC195" s="13"/>
      <c r="CD195" s="13" t="s">
        <v>6198</v>
      </c>
      <c r="CE195" s="13"/>
      <c r="CF195" s="13"/>
    </row>
    <row r="196" spans="1:84" ht="18.600000000000001" customHeight="1" x14ac:dyDescent="0.25">
      <c r="A196" s="60" t="s">
        <v>73</v>
      </c>
      <c r="B196" s="2" t="s">
        <v>890</v>
      </c>
      <c r="C196" s="3" t="s">
        <v>3732</v>
      </c>
      <c r="D196" s="12" t="s">
        <v>888</v>
      </c>
      <c r="E196" s="12" t="s">
        <v>3268</v>
      </c>
      <c r="F196" s="12" t="s">
        <v>4122</v>
      </c>
      <c r="G196" s="25">
        <v>45950920</v>
      </c>
      <c r="H196" s="25">
        <v>36586871</v>
      </c>
      <c r="I196" s="25">
        <v>2996922</v>
      </c>
      <c r="J196" s="25">
        <v>2676383</v>
      </c>
      <c r="K196" s="25">
        <v>32296750</v>
      </c>
      <c r="L196" s="25">
        <v>18539248</v>
      </c>
      <c r="M196" s="25">
        <v>50835998</v>
      </c>
      <c r="N196" s="31">
        <v>0.64</v>
      </c>
      <c r="O196" s="25">
        <v>0</v>
      </c>
      <c r="P196" s="25">
        <v>206895</v>
      </c>
      <c r="Q196" s="25">
        <v>3081530</v>
      </c>
      <c r="R196" s="25">
        <v>223342</v>
      </c>
      <c r="S196" s="25">
        <v>312205</v>
      </c>
      <c r="T196" s="25">
        <v>62484</v>
      </c>
      <c r="U196" s="61">
        <v>7737</v>
      </c>
      <c r="V196" s="58">
        <v>8.8000000000000005E-3</v>
      </c>
      <c r="W196" s="33">
        <v>9.2999999999999992E-3</v>
      </c>
      <c r="X196" s="33">
        <v>2.5999999999999999E-3</v>
      </c>
      <c r="Y196" s="33">
        <v>5.4000000000000003E-3</v>
      </c>
      <c r="Z196" s="33">
        <v>7.1999999999999998E-3</v>
      </c>
      <c r="AA196" s="33">
        <v>4.8999999999999998E-3</v>
      </c>
      <c r="AB196" s="25">
        <v>711</v>
      </c>
      <c r="AC196" s="25">
        <v>590</v>
      </c>
      <c r="AD196" s="25">
        <v>1</v>
      </c>
      <c r="AE196" s="25">
        <v>2</v>
      </c>
      <c r="AF196" s="25">
        <v>116</v>
      </c>
      <c r="AG196" s="25">
        <v>0</v>
      </c>
      <c r="AH196" s="25">
        <v>2</v>
      </c>
      <c r="AI196" s="12">
        <v>1.62</v>
      </c>
      <c r="AJ196" s="25">
        <v>8104005</v>
      </c>
      <c r="AK196" s="25">
        <v>1715799</v>
      </c>
      <c r="AL196" s="33">
        <v>0.26860000000000001</v>
      </c>
      <c r="AM196" s="3" t="s">
        <v>3732</v>
      </c>
      <c r="AN196" s="12" t="s">
        <v>3268</v>
      </c>
      <c r="AO196" s="12" t="s">
        <v>3268</v>
      </c>
      <c r="AP196" s="12" t="str">
        <f>"390581294464059"</f>
        <v>390581294464059</v>
      </c>
      <c r="AQ196" s="12" t="s">
        <v>888</v>
      </c>
      <c r="AR196" s="12" t="s">
        <v>4688</v>
      </c>
      <c r="AS196" s="12" t="s">
        <v>889</v>
      </c>
      <c r="AT196" s="12" t="s">
        <v>4689</v>
      </c>
      <c r="AU196" s="12" t="s">
        <v>424</v>
      </c>
      <c r="AV196" s="12"/>
      <c r="AW196" s="12"/>
      <c r="AX196" s="12">
        <v>0</v>
      </c>
      <c r="AY196" s="12">
        <v>493533</v>
      </c>
      <c r="AZ196" s="12">
        <v>0</v>
      </c>
      <c r="BA196" s="12" t="s">
        <v>3269</v>
      </c>
      <c r="BB196" s="12"/>
      <c r="BC196" s="12" t="s">
        <v>6698</v>
      </c>
      <c r="BD196" s="12"/>
      <c r="BE196" s="12" t="s">
        <v>2291</v>
      </c>
      <c r="BF196" s="12"/>
      <c r="BG196" s="12"/>
      <c r="BH196" s="12"/>
      <c r="BI196" s="12" t="s">
        <v>4690</v>
      </c>
      <c r="BJ196" s="12"/>
      <c r="BK196" s="12"/>
      <c r="BL196" s="12" t="s">
        <v>2292</v>
      </c>
      <c r="BM196" s="12" t="s">
        <v>2292</v>
      </c>
      <c r="BN196" s="12" t="s">
        <v>2292</v>
      </c>
      <c r="BO196" s="12" t="s">
        <v>2291</v>
      </c>
      <c r="BP196" s="12"/>
      <c r="BQ196" s="12"/>
      <c r="BR196" s="12"/>
      <c r="BS196" s="12"/>
      <c r="BT196" s="12"/>
      <c r="BU196" s="12"/>
      <c r="BV196" s="12"/>
      <c r="BW196" s="12"/>
      <c r="BX196" s="12"/>
      <c r="BY196" s="13" t="s">
        <v>313</v>
      </c>
      <c r="BZ196" s="13" t="s">
        <v>6170</v>
      </c>
      <c r="CA196" s="13" t="s">
        <v>6170</v>
      </c>
      <c r="CB196" s="13" t="s">
        <v>312</v>
      </c>
      <c r="CC196" s="13"/>
      <c r="CD196" s="13" t="s">
        <v>6198</v>
      </c>
      <c r="CE196" s="13" t="s">
        <v>6175</v>
      </c>
      <c r="CF196" s="13"/>
    </row>
    <row r="197" spans="1:84" ht="18.600000000000001" customHeight="1" x14ac:dyDescent="0.25">
      <c r="A197" s="60" t="s">
        <v>73</v>
      </c>
      <c r="B197" s="2" t="s">
        <v>314</v>
      </c>
      <c r="C197" s="3" t="s">
        <v>2602</v>
      </c>
      <c r="D197" s="12" t="s">
        <v>891</v>
      </c>
      <c r="E197" s="12" t="s">
        <v>892</v>
      </c>
      <c r="F197" s="12" t="s">
        <v>4113</v>
      </c>
      <c r="G197" s="25">
        <v>0</v>
      </c>
      <c r="H197" s="25">
        <v>0</v>
      </c>
      <c r="I197" s="25">
        <v>0</v>
      </c>
      <c r="J197" s="25">
        <v>0</v>
      </c>
      <c r="K197" s="25">
        <v>0</v>
      </c>
      <c r="L197" s="25">
        <v>0</v>
      </c>
      <c r="M197" s="25">
        <v>0</v>
      </c>
      <c r="N197" s="31">
        <v>0</v>
      </c>
      <c r="O197" s="25">
        <v>0</v>
      </c>
      <c r="P197" s="25">
        <v>0</v>
      </c>
      <c r="Q197" s="25">
        <v>0</v>
      </c>
      <c r="R197" s="25">
        <v>0</v>
      </c>
      <c r="S197" s="25">
        <v>0</v>
      </c>
      <c r="T197" s="25">
        <v>0</v>
      </c>
      <c r="U197" s="61">
        <v>0</v>
      </c>
      <c r="V197" s="59"/>
      <c r="W197" s="12" t="s">
        <v>3926</v>
      </c>
      <c r="X197" s="12" t="s">
        <v>3926</v>
      </c>
      <c r="Y197" s="12" t="s">
        <v>3926</v>
      </c>
      <c r="Z197" s="12" t="s">
        <v>3926</v>
      </c>
      <c r="AA197" s="12" t="s">
        <v>3926</v>
      </c>
      <c r="AB197" s="25" t="s">
        <v>3927</v>
      </c>
      <c r="AC197" s="25">
        <v>0</v>
      </c>
      <c r="AD197" s="25">
        <v>0</v>
      </c>
      <c r="AE197" s="25">
        <v>0</v>
      </c>
      <c r="AF197" s="25">
        <v>0</v>
      </c>
      <c r="AG197" s="25">
        <v>0</v>
      </c>
      <c r="AH197" s="25">
        <v>0</v>
      </c>
      <c r="AI197" s="12">
        <v>0</v>
      </c>
      <c r="AJ197" s="25">
        <v>53445</v>
      </c>
      <c r="AK197" s="25">
        <v>-888</v>
      </c>
      <c r="AL197" s="33">
        <v>-1.6299999999999999E-2</v>
      </c>
      <c r="AM197" s="3" t="s">
        <v>2602</v>
      </c>
      <c r="AN197" s="12" t="s">
        <v>892</v>
      </c>
      <c r="AO197" s="12" t="s">
        <v>892</v>
      </c>
      <c r="AP197" s="12" t="str">
        <f>"378812692222909"</f>
        <v>378812692222909</v>
      </c>
      <c r="AQ197" s="12" t="s">
        <v>891</v>
      </c>
      <c r="AR197" s="12" t="s">
        <v>893</v>
      </c>
      <c r="AS197" s="12" t="s">
        <v>894</v>
      </c>
      <c r="AT197" s="12"/>
      <c r="AU197" s="12" t="s">
        <v>324</v>
      </c>
      <c r="AV197" s="12" t="s">
        <v>5731</v>
      </c>
      <c r="AW197" s="12"/>
      <c r="AX197" s="12">
        <v>5474</v>
      </c>
      <c r="AY197" s="12">
        <v>46</v>
      </c>
      <c r="AZ197" s="12">
        <v>0</v>
      </c>
      <c r="BA197" s="12" t="s">
        <v>895</v>
      </c>
      <c r="BB197" s="12" t="s">
        <v>6680</v>
      </c>
      <c r="BC197" s="12"/>
      <c r="BD197" s="12"/>
      <c r="BE197" s="12" t="s">
        <v>2291</v>
      </c>
      <c r="BF197" s="12"/>
      <c r="BG197" s="12"/>
      <c r="BH197" s="12"/>
      <c r="BI197" s="12"/>
      <c r="BJ197" s="12"/>
      <c r="BK197" s="12"/>
      <c r="BL197" s="12" t="s">
        <v>2292</v>
      </c>
      <c r="BM197" s="12" t="s">
        <v>2292</v>
      </c>
      <c r="BN197" s="12" t="s">
        <v>2292</v>
      </c>
      <c r="BO197" s="12" t="s">
        <v>2291</v>
      </c>
      <c r="BP197" s="12"/>
      <c r="BQ197" s="12"/>
      <c r="BR197" s="12"/>
      <c r="BS197" s="12"/>
      <c r="BT197" s="12">
        <v>2123545001</v>
      </c>
      <c r="BU197" s="12" t="s">
        <v>326</v>
      </c>
      <c r="BV197" s="12"/>
      <c r="BW197" s="12" t="s">
        <v>896</v>
      </c>
      <c r="BX197" s="12"/>
      <c r="BY197" s="13" t="s">
        <v>344</v>
      </c>
      <c r="BZ197" s="13" t="s">
        <v>6170</v>
      </c>
      <c r="CA197" s="13" t="s">
        <v>6170</v>
      </c>
      <c r="CB197" s="13" t="s">
        <v>312</v>
      </c>
      <c r="CC197" s="13"/>
      <c r="CD197" s="13" t="s">
        <v>6198</v>
      </c>
      <c r="CE197" s="13" t="s">
        <v>6184</v>
      </c>
      <c r="CF197" s="13"/>
    </row>
    <row r="198" spans="1:84" ht="18.600000000000001" customHeight="1" x14ac:dyDescent="0.25">
      <c r="A198" s="60" t="s">
        <v>73</v>
      </c>
      <c r="B198" s="2" t="s">
        <v>314</v>
      </c>
      <c r="C198" s="3" t="s">
        <v>5068</v>
      </c>
      <c r="D198" s="12" t="s">
        <v>4940</v>
      </c>
      <c r="E198" s="12" t="s">
        <v>4941</v>
      </c>
      <c r="F198" s="12" t="s">
        <v>4942</v>
      </c>
      <c r="G198" s="25">
        <v>21397</v>
      </c>
      <c r="H198" s="25">
        <v>15681</v>
      </c>
      <c r="I198" s="25">
        <v>1441</v>
      </c>
      <c r="J198" s="25">
        <v>3118</v>
      </c>
      <c r="K198" s="25">
        <v>1150</v>
      </c>
      <c r="L198" s="25">
        <v>91</v>
      </c>
      <c r="M198" s="25">
        <v>1241</v>
      </c>
      <c r="N198" s="31">
        <v>0.93</v>
      </c>
      <c r="O198" s="25">
        <v>6</v>
      </c>
      <c r="P198" s="25">
        <v>0</v>
      </c>
      <c r="Q198" s="25">
        <v>1101</v>
      </c>
      <c r="R198" s="25">
        <v>9</v>
      </c>
      <c r="S198" s="25">
        <v>24</v>
      </c>
      <c r="T198" s="25">
        <v>22</v>
      </c>
      <c r="U198" s="61">
        <v>1</v>
      </c>
      <c r="V198" s="58">
        <v>4.8999999999999998E-3</v>
      </c>
      <c r="W198" s="33">
        <v>4.7999999999999996E-3</v>
      </c>
      <c r="X198" s="33">
        <v>4.7000000000000002E-3</v>
      </c>
      <c r="Y198" s="12" t="s">
        <v>3926</v>
      </c>
      <c r="Z198" s="33">
        <v>8.6E-3</v>
      </c>
      <c r="AA198" s="33">
        <v>4.1000000000000003E-3</v>
      </c>
      <c r="AB198" s="25">
        <v>1568</v>
      </c>
      <c r="AC198" s="25">
        <v>125</v>
      </c>
      <c r="AD198" s="25">
        <v>1393</v>
      </c>
      <c r="AE198" s="25">
        <v>0</v>
      </c>
      <c r="AF198" s="25">
        <v>9</v>
      </c>
      <c r="AG198" s="25">
        <v>1</v>
      </c>
      <c r="AH198" s="25">
        <v>40</v>
      </c>
      <c r="AI198" s="12">
        <v>3.57</v>
      </c>
      <c r="AJ198" s="25">
        <v>4858</v>
      </c>
      <c r="AK198" s="25">
        <v>4281</v>
      </c>
      <c r="AL198" s="33">
        <v>7.4194000000000004</v>
      </c>
      <c r="AM198" s="3" t="s">
        <v>5068</v>
      </c>
      <c r="AN198" s="12" t="s">
        <v>4941</v>
      </c>
      <c r="AO198" s="12" t="s">
        <v>4941</v>
      </c>
      <c r="AP198" s="12" t="str">
        <f>"206588216425327"</f>
        <v>206588216425327</v>
      </c>
      <c r="AQ198" s="12" t="s">
        <v>4940</v>
      </c>
      <c r="AR198" s="12" t="s">
        <v>5331</v>
      </c>
      <c r="AS198" s="12" t="s">
        <v>5332</v>
      </c>
      <c r="AT198" s="12"/>
      <c r="AU198" s="12" t="s">
        <v>324</v>
      </c>
      <c r="AV198" s="12" t="s">
        <v>5731</v>
      </c>
      <c r="AW198" s="12"/>
      <c r="AX198" s="12">
        <v>1674</v>
      </c>
      <c r="AY198" s="12">
        <v>450</v>
      </c>
      <c r="AZ198" s="12">
        <v>1674</v>
      </c>
      <c r="BA198" s="12" t="s">
        <v>5333</v>
      </c>
      <c r="BB198" s="12" t="s">
        <v>6726</v>
      </c>
      <c r="BC198" s="12" t="s">
        <v>6727</v>
      </c>
      <c r="BD198" s="12"/>
      <c r="BE198" s="12" t="s">
        <v>2291</v>
      </c>
      <c r="BF198" s="12"/>
      <c r="BG198" s="12"/>
      <c r="BH198" s="12"/>
      <c r="BI198" s="12"/>
      <c r="BJ198" s="12"/>
      <c r="BK198" s="12"/>
      <c r="BL198" s="12" t="s">
        <v>2292</v>
      </c>
      <c r="BM198" s="12" t="s">
        <v>2292</v>
      </c>
      <c r="BN198" s="12" t="s">
        <v>2292</v>
      </c>
      <c r="BO198" s="12" t="s">
        <v>2291</v>
      </c>
      <c r="BP198" s="12"/>
      <c r="BQ198" s="12"/>
      <c r="BR198" s="12"/>
      <c r="BS198" s="12"/>
      <c r="BT198" s="12" t="s">
        <v>5334</v>
      </c>
      <c r="BU198" s="12" t="s">
        <v>326</v>
      </c>
      <c r="BV198" s="12"/>
      <c r="BW198" s="12" t="s">
        <v>5335</v>
      </c>
      <c r="BX198" s="12"/>
      <c r="BY198" s="13" t="s">
        <v>313</v>
      </c>
      <c r="BZ198" s="13" t="s">
        <v>6172</v>
      </c>
      <c r="CA198" s="13" t="s">
        <v>6170</v>
      </c>
      <c r="CB198" s="13" t="s">
        <v>6197</v>
      </c>
      <c r="CC198" s="13"/>
      <c r="CD198" s="13" t="s">
        <v>6198</v>
      </c>
      <c r="CE198" s="13"/>
      <c r="CF198" s="13"/>
    </row>
    <row r="199" spans="1:84" ht="18.600000000000001" customHeight="1" x14ac:dyDescent="0.25">
      <c r="A199" s="60" t="s">
        <v>73</v>
      </c>
      <c r="B199" s="2" t="s">
        <v>315</v>
      </c>
      <c r="C199" s="3" t="s">
        <v>2984</v>
      </c>
      <c r="D199" s="12" t="s">
        <v>898</v>
      </c>
      <c r="E199" s="12" t="s">
        <v>897</v>
      </c>
      <c r="F199" s="12" t="s">
        <v>4355</v>
      </c>
      <c r="G199" s="25">
        <v>3036151</v>
      </c>
      <c r="H199" s="25">
        <v>2504961</v>
      </c>
      <c r="I199" s="25">
        <v>68189</v>
      </c>
      <c r="J199" s="25">
        <v>315471</v>
      </c>
      <c r="K199" s="25">
        <v>1131258</v>
      </c>
      <c r="L199" s="25">
        <v>413260</v>
      </c>
      <c r="M199" s="25">
        <v>1544518</v>
      </c>
      <c r="N199" s="31">
        <v>0.73</v>
      </c>
      <c r="O199" s="25">
        <v>0</v>
      </c>
      <c r="P199" s="25">
        <v>0</v>
      </c>
      <c r="Q199" s="25">
        <v>122042</v>
      </c>
      <c r="R199" s="25">
        <v>9561</v>
      </c>
      <c r="S199" s="25">
        <v>12063</v>
      </c>
      <c r="T199" s="25">
        <v>2762</v>
      </c>
      <c r="U199" s="61">
        <v>906</v>
      </c>
      <c r="V199" s="58">
        <v>2.2000000000000001E-3</v>
      </c>
      <c r="W199" s="33">
        <v>1.8E-3</v>
      </c>
      <c r="X199" s="33">
        <v>2.5999999999999999E-3</v>
      </c>
      <c r="Y199" s="33">
        <v>1.9E-3</v>
      </c>
      <c r="Z199" s="33">
        <v>1.6000000000000001E-3</v>
      </c>
      <c r="AA199" s="33">
        <v>6.9999999999999999E-4</v>
      </c>
      <c r="AB199" s="25">
        <v>4035</v>
      </c>
      <c r="AC199" s="25">
        <v>1386</v>
      </c>
      <c r="AD199" s="25">
        <v>2381</v>
      </c>
      <c r="AE199" s="25">
        <v>2</v>
      </c>
      <c r="AF199" s="25">
        <v>233</v>
      </c>
      <c r="AG199" s="25">
        <v>0</v>
      </c>
      <c r="AH199" s="25">
        <v>33</v>
      </c>
      <c r="AI199" s="12">
        <v>9.19</v>
      </c>
      <c r="AJ199" s="25">
        <v>364646</v>
      </c>
      <c r="AK199" s="25">
        <v>72718</v>
      </c>
      <c r="AL199" s="33">
        <v>0.24909999999999999</v>
      </c>
      <c r="AM199" s="3" t="s">
        <v>2984</v>
      </c>
      <c r="AN199" s="12" t="s">
        <v>897</v>
      </c>
      <c r="AO199" s="12" t="s">
        <v>897</v>
      </c>
      <c r="AP199" s="12" t="str">
        <f>"264386577005288"</f>
        <v>264386577005288</v>
      </c>
      <c r="AQ199" s="12" t="s">
        <v>898</v>
      </c>
      <c r="AR199" s="12" t="s">
        <v>899</v>
      </c>
      <c r="AS199" s="12" t="s">
        <v>3252</v>
      </c>
      <c r="AT199" s="12"/>
      <c r="AU199" s="12" t="s">
        <v>324</v>
      </c>
      <c r="AV199" s="12"/>
      <c r="AW199" s="12"/>
      <c r="AX199" s="12">
        <v>0</v>
      </c>
      <c r="AY199" s="12">
        <v>13916</v>
      </c>
      <c r="AZ199" s="12">
        <v>0</v>
      </c>
      <c r="BA199" s="12" t="s">
        <v>900</v>
      </c>
      <c r="BB199" s="12" t="s">
        <v>6013</v>
      </c>
      <c r="BC199" s="12" t="s">
        <v>7225</v>
      </c>
      <c r="BD199" s="12"/>
      <c r="BE199" s="12" t="s">
        <v>2291</v>
      </c>
      <c r="BF199" s="12"/>
      <c r="BG199" s="12"/>
      <c r="BH199" s="12"/>
      <c r="BI199" s="12" t="s">
        <v>901</v>
      </c>
      <c r="BJ199" s="12" t="s">
        <v>902</v>
      </c>
      <c r="BK199" s="12" t="s">
        <v>6393</v>
      </c>
      <c r="BL199" s="12" t="s">
        <v>2292</v>
      </c>
      <c r="BM199" s="12" t="s">
        <v>2292</v>
      </c>
      <c r="BN199" s="12" t="s">
        <v>2292</v>
      </c>
      <c r="BO199" s="12" t="s">
        <v>2291</v>
      </c>
      <c r="BP199" s="12" t="s">
        <v>2985</v>
      </c>
      <c r="BQ199" s="12"/>
      <c r="BR199" s="12"/>
      <c r="BS199" s="12"/>
      <c r="BT199" s="12"/>
      <c r="BU199" s="12"/>
      <c r="BV199" s="12" t="s">
        <v>2986</v>
      </c>
      <c r="BW199" s="12" t="s">
        <v>903</v>
      </c>
      <c r="BX199" s="12"/>
      <c r="BY199" s="13" t="s">
        <v>313</v>
      </c>
      <c r="BZ199" s="13" t="s">
        <v>6170</v>
      </c>
      <c r="CA199" s="13" t="s">
        <v>6170</v>
      </c>
      <c r="CB199" s="13" t="s">
        <v>6197</v>
      </c>
      <c r="CC199" s="13"/>
      <c r="CD199" s="13" t="s">
        <v>6198</v>
      </c>
      <c r="CE199" s="13"/>
      <c r="CF199" s="13"/>
    </row>
    <row r="200" spans="1:84" ht="18.600000000000001" customHeight="1" x14ac:dyDescent="0.25">
      <c r="A200" s="60" t="s">
        <v>73</v>
      </c>
      <c r="B200" s="2" t="s">
        <v>335</v>
      </c>
      <c r="C200" s="3" t="s">
        <v>2640</v>
      </c>
      <c r="D200" s="12" t="s">
        <v>905</v>
      </c>
      <c r="E200" s="12" t="s">
        <v>904</v>
      </c>
      <c r="F200" s="12" t="s">
        <v>4132</v>
      </c>
      <c r="G200" s="25">
        <v>178340</v>
      </c>
      <c r="H200" s="25">
        <v>156881</v>
      </c>
      <c r="I200" s="25">
        <v>2150</v>
      </c>
      <c r="J200" s="25">
        <v>14859</v>
      </c>
      <c r="K200" s="25">
        <v>24573</v>
      </c>
      <c r="L200" s="25">
        <v>31001</v>
      </c>
      <c r="M200" s="25">
        <v>55574</v>
      </c>
      <c r="N200" s="31">
        <v>0.44</v>
      </c>
      <c r="O200" s="25">
        <v>2917</v>
      </c>
      <c r="P200" s="25">
        <v>214</v>
      </c>
      <c r="Q200" s="25">
        <v>3305</v>
      </c>
      <c r="R200" s="25">
        <v>418</v>
      </c>
      <c r="S200" s="25">
        <v>279</v>
      </c>
      <c r="T200" s="25">
        <v>355</v>
      </c>
      <c r="U200" s="61">
        <v>92</v>
      </c>
      <c r="V200" s="58">
        <v>6.7999999999999996E-3</v>
      </c>
      <c r="W200" s="33">
        <v>8.2000000000000007E-3</v>
      </c>
      <c r="X200" s="33">
        <v>2.5999999999999999E-3</v>
      </c>
      <c r="Y200" s="33">
        <v>4.0000000000000001E-3</v>
      </c>
      <c r="Z200" s="33">
        <v>3.2000000000000002E-3</v>
      </c>
      <c r="AA200" s="33">
        <v>1.1999999999999999E-3</v>
      </c>
      <c r="AB200" s="25">
        <v>676</v>
      </c>
      <c r="AC200" s="25">
        <v>503</v>
      </c>
      <c r="AD200" s="25">
        <v>100</v>
      </c>
      <c r="AE200" s="25">
        <v>11</v>
      </c>
      <c r="AF200" s="25">
        <v>28</v>
      </c>
      <c r="AG200" s="25">
        <v>5</v>
      </c>
      <c r="AH200" s="25">
        <v>29</v>
      </c>
      <c r="AI200" s="12">
        <v>1.54</v>
      </c>
      <c r="AJ200" s="25">
        <v>47464</v>
      </c>
      <c r="AK200" s="25">
        <v>17112</v>
      </c>
      <c r="AL200" s="33">
        <v>0.56379999999999997</v>
      </c>
      <c r="AM200" s="3" t="s">
        <v>2640</v>
      </c>
      <c r="AN200" s="12" t="s">
        <v>904</v>
      </c>
      <c r="AO200" s="12" t="s">
        <v>904</v>
      </c>
      <c r="AP200" s="12" t="str">
        <f>"129072070462574"</f>
        <v>129072070462574</v>
      </c>
      <c r="AQ200" s="12" t="s">
        <v>905</v>
      </c>
      <c r="AR200" s="12" t="s">
        <v>2641</v>
      </c>
      <c r="AS200" s="12" t="s">
        <v>2642</v>
      </c>
      <c r="AT200" s="12"/>
      <c r="AU200" s="12" t="s">
        <v>324</v>
      </c>
      <c r="AV200" s="12" t="s">
        <v>5731</v>
      </c>
      <c r="AW200" s="12"/>
      <c r="AX200" s="12">
        <v>17579</v>
      </c>
      <c r="AY200" s="12">
        <v>640</v>
      </c>
      <c r="AZ200" s="12">
        <v>17579</v>
      </c>
      <c r="BA200" s="12" t="s">
        <v>906</v>
      </c>
      <c r="BB200" s="12" t="s">
        <v>6733</v>
      </c>
      <c r="BC200" s="12" t="s">
        <v>6734</v>
      </c>
      <c r="BD200" s="12"/>
      <c r="BE200" s="12" t="s">
        <v>2291</v>
      </c>
      <c r="BF200" s="12"/>
      <c r="BG200" s="12"/>
      <c r="BH200" s="12"/>
      <c r="BI200" s="12"/>
      <c r="BJ200" s="12"/>
      <c r="BK200" s="12" t="s">
        <v>6393</v>
      </c>
      <c r="BL200" s="12" t="s">
        <v>2292</v>
      </c>
      <c r="BM200" s="12" t="s">
        <v>2292</v>
      </c>
      <c r="BN200" s="12" t="s">
        <v>2292</v>
      </c>
      <c r="BO200" s="12" t="s">
        <v>2291</v>
      </c>
      <c r="BP200" s="12"/>
      <c r="BQ200" s="12"/>
      <c r="BR200" s="12"/>
      <c r="BS200" s="12"/>
      <c r="BT200" s="12" t="s">
        <v>907</v>
      </c>
      <c r="BU200" s="12" t="s">
        <v>326</v>
      </c>
      <c r="BV200" s="12"/>
      <c r="BW200" s="12" t="s">
        <v>908</v>
      </c>
      <c r="BX200" s="12"/>
      <c r="BY200" s="13" t="s">
        <v>313</v>
      </c>
      <c r="BZ200" s="13" t="s">
        <v>6170</v>
      </c>
      <c r="CA200" s="13" t="s">
        <v>6170</v>
      </c>
      <c r="CB200" s="13" t="s">
        <v>6197</v>
      </c>
      <c r="CC200" s="13"/>
      <c r="CD200" s="13" t="s">
        <v>6198</v>
      </c>
      <c r="CE200" s="13"/>
      <c r="CF200" s="13"/>
    </row>
    <row r="201" spans="1:84" ht="18.600000000000001" customHeight="1" x14ac:dyDescent="0.25">
      <c r="A201" s="60" t="s">
        <v>73</v>
      </c>
      <c r="B201" s="2" t="s">
        <v>335</v>
      </c>
      <c r="C201" s="3" t="s">
        <v>2793</v>
      </c>
      <c r="D201" s="12" t="s">
        <v>909</v>
      </c>
      <c r="E201" s="12"/>
      <c r="F201" s="12" t="s">
        <v>4443</v>
      </c>
      <c r="G201" s="25">
        <v>4</v>
      </c>
      <c r="H201" s="25">
        <v>2</v>
      </c>
      <c r="I201" s="25">
        <v>2</v>
      </c>
      <c r="J201" s="25">
        <v>0</v>
      </c>
      <c r="K201" s="25">
        <v>29</v>
      </c>
      <c r="L201" s="25">
        <v>0</v>
      </c>
      <c r="M201" s="25">
        <v>29</v>
      </c>
      <c r="N201" s="31">
        <v>1</v>
      </c>
      <c r="O201" s="25">
        <v>0</v>
      </c>
      <c r="P201" s="25">
        <v>0</v>
      </c>
      <c r="Q201" s="25">
        <v>0</v>
      </c>
      <c r="R201" s="25">
        <v>0</v>
      </c>
      <c r="S201" s="25">
        <v>0</v>
      </c>
      <c r="T201" s="25">
        <v>0</v>
      </c>
      <c r="U201" s="61">
        <v>0</v>
      </c>
      <c r="V201" s="58">
        <v>2.9999999999999997E-4</v>
      </c>
      <c r="W201" s="12" t="s">
        <v>3926</v>
      </c>
      <c r="X201" s="33">
        <v>2.9999999999999997E-4</v>
      </c>
      <c r="Y201" s="12" t="s">
        <v>3926</v>
      </c>
      <c r="Z201" s="33">
        <v>5.9999999999999995E-4</v>
      </c>
      <c r="AA201" s="12" t="s">
        <v>3926</v>
      </c>
      <c r="AB201" s="25">
        <v>3</v>
      </c>
      <c r="AC201" s="25">
        <v>0</v>
      </c>
      <c r="AD201" s="25">
        <v>2</v>
      </c>
      <c r="AE201" s="25">
        <v>0</v>
      </c>
      <c r="AF201" s="25">
        <v>1</v>
      </c>
      <c r="AG201" s="25">
        <v>0</v>
      </c>
      <c r="AH201" s="25">
        <v>0</v>
      </c>
      <c r="AI201" s="12">
        <v>0.01</v>
      </c>
      <c r="AJ201" s="25">
        <v>3584</v>
      </c>
      <c r="AK201" s="25">
        <v>-32</v>
      </c>
      <c r="AL201" s="33">
        <v>-8.8000000000000005E-3</v>
      </c>
      <c r="AM201" s="3" t="s">
        <v>2793</v>
      </c>
      <c r="AN201" s="12" t="s">
        <v>5386</v>
      </c>
      <c r="AO201" s="12"/>
      <c r="AP201" s="12" t="str">
        <f>"134183339948571"</f>
        <v>134183339948571</v>
      </c>
      <c r="AQ201" s="12" t="s">
        <v>909</v>
      </c>
      <c r="AR201" s="12" t="s">
        <v>910</v>
      </c>
      <c r="AS201" s="12" t="s">
        <v>2794</v>
      </c>
      <c r="AT201" s="12"/>
      <c r="AU201" s="12" t="s">
        <v>324</v>
      </c>
      <c r="AV201" s="12" t="s">
        <v>5731</v>
      </c>
      <c r="AW201" s="12"/>
      <c r="AX201" s="12">
        <v>27</v>
      </c>
      <c r="AY201" s="12">
        <v>1</v>
      </c>
      <c r="AZ201" s="12">
        <v>27</v>
      </c>
      <c r="BA201" s="12" t="s">
        <v>911</v>
      </c>
      <c r="BB201" s="12" t="s">
        <v>6951</v>
      </c>
      <c r="BC201" s="12" t="s">
        <v>6952</v>
      </c>
      <c r="BD201" s="12"/>
      <c r="BE201" s="12" t="s">
        <v>2291</v>
      </c>
      <c r="BF201" s="12"/>
      <c r="BG201" s="12"/>
      <c r="BH201" s="12"/>
      <c r="BI201" s="12"/>
      <c r="BJ201" s="12"/>
      <c r="BK201" s="12" t="s">
        <v>6953</v>
      </c>
      <c r="BL201" s="12" t="s">
        <v>2292</v>
      </c>
      <c r="BM201" s="12" t="s">
        <v>2292</v>
      </c>
      <c r="BN201" s="12" t="s">
        <v>2292</v>
      </c>
      <c r="BO201" s="12" t="s">
        <v>2292</v>
      </c>
      <c r="BP201" s="12"/>
      <c r="BQ201" s="12"/>
      <c r="BR201" s="12"/>
      <c r="BS201" s="12"/>
      <c r="BT201" s="12" t="s">
        <v>2795</v>
      </c>
      <c r="BU201" s="12" t="s">
        <v>326</v>
      </c>
      <c r="BV201" s="12"/>
      <c r="BW201" s="12" t="s">
        <v>908</v>
      </c>
      <c r="BX201" s="12"/>
      <c r="BY201" s="13" t="s">
        <v>313</v>
      </c>
      <c r="BZ201" s="13" t="s">
        <v>6170</v>
      </c>
      <c r="CA201" s="13" t="s">
        <v>6170</v>
      </c>
      <c r="CB201" s="13" t="s">
        <v>312</v>
      </c>
      <c r="CC201" s="13"/>
      <c r="CD201" s="13" t="s">
        <v>6198</v>
      </c>
      <c r="CE201" s="13"/>
      <c r="CF201" s="13"/>
    </row>
    <row r="202" spans="1:84" ht="18.600000000000001" customHeight="1" x14ac:dyDescent="0.25">
      <c r="A202" s="60" t="s">
        <v>74</v>
      </c>
      <c r="B202" s="2" t="s">
        <v>915</v>
      </c>
      <c r="C202" s="3" t="s">
        <v>3093</v>
      </c>
      <c r="D202" s="12" t="s">
        <v>3148</v>
      </c>
      <c r="E202" s="12" t="s">
        <v>913</v>
      </c>
      <c r="F202" s="12" t="s">
        <v>4432</v>
      </c>
      <c r="G202" s="25">
        <v>816815</v>
      </c>
      <c r="H202" s="25">
        <v>625280</v>
      </c>
      <c r="I202" s="25">
        <v>16490</v>
      </c>
      <c r="J202" s="25">
        <v>109504</v>
      </c>
      <c r="K202" s="25">
        <v>813316</v>
      </c>
      <c r="L202" s="25">
        <v>994054</v>
      </c>
      <c r="M202" s="25">
        <v>1807370</v>
      </c>
      <c r="N202" s="31">
        <v>0.45</v>
      </c>
      <c r="O202" s="25">
        <v>0</v>
      </c>
      <c r="P202" s="25">
        <v>3801</v>
      </c>
      <c r="Q202" s="25">
        <v>52133</v>
      </c>
      <c r="R202" s="25">
        <v>1543</v>
      </c>
      <c r="S202" s="25">
        <v>642</v>
      </c>
      <c r="T202" s="25">
        <v>9881</v>
      </c>
      <c r="U202" s="61">
        <v>1141</v>
      </c>
      <c r="V202" s="58">
        <v>7.3000000000000001E-3</v>
      </c>
      <c r="W202" s="33">
        <v>8.2000000000000007E-3</v>
      </c>
      <c r="X202" s="33">
        <v>5.1000000000000004E-3</v>
      </c>
      <c r="Y202" s="33">
        <v>1.6000000000000001E-3</v>
      </c>
      <c r="Z202" s="33">
        <v>1.0699999999999999E-2</v>
      </c>
      <c r="AA202" s="12" t="s">
        <v>3926</v>
      </c>
      <c r="AB202" s="25">
        <v>624</v>
      </c>
      <c r="AC202" s="25">
        <v>313</v>
      </c>
      <c r="AD202" s="25">
        <v>227</v>
      </c>
      <c r="AE202" s="25">
        <v>6</v>
      </c>
      <c r="AF202" s="25">
        <v>78</v>
      </c>
      <c r="AG202" s="25">
        <v>0</v>
      </c>
      <c r="AH202" s="25">
        <v>0</v>
      </c>
      <c r="AI202" s="12">
        <v>1.42</v>
      </c>
      <c r="AJ202" s="25">
        <v>204093</v>
      </c>
      <c r="AK202" s="25">
        <v>51941</v>
      </c>
      <c r="AL202" s="33">
        <v>0.34139999999999998</v>
      </c>
      <c r="AM202" s="3" t="s">
        <v>3093</v>
      </c>
      <c r="AN202" s="12" t="s">
        <v>913</v>
      </c>
      <c r="AO202" s="12" t="s">
        <v>913</v>
      </c>
      <c r="AP202" s="12" t="str">
        <f>"415541435185463"</f>
        <v>415541435185463</v>
      </c>
      <c r="AQ202" s="12" t="s">
        <v>3148</v>
      </c>
      <c r="AR202" s="12" t="s">
        <v>912</v>
      </c>
      <c r="AS202" s="12" t="s">
        <v>3094</v>
      </c>
      <c r="AT202" s="12"/>
      <c r="AU202" s="12" t="s">
        <v>660</v>
      </c>
      <c r="AV202" s="12"/>
      <c r="AW202" s="12"/>
      <c r="AX202" s="12">
        <v>0</v>
      </c>
      <c r="AY202" s="12">
        <v>6597</v>
      </c>
      <c r="AZ202" s="12">
        <v>0</v>
      </c>
      <c r="BA202" s="12" t="s">
        <v>914</v>
      </c>
      <c r="BB202" s="12"/>
      <c r="BC202" s="12" t="s">
        <v>7397</v>
      </c>
      <c r="BD202" s="12"/>
      <c r="BE202" s="12" t="s">
        <v>2291</v>
      </c>
      <c r="BF202" s="12"/>
      <c r="BG202" s="12"/>
      <c r="BH202" s="12"/>
      <c r="BI202" s="12"/>
      <c r="BJ202" s="12"/>
      <c r="BK202" s="12"/>
      <c r="BL202" s="12" t="s">
        <v>2292</v>
      </c>
      <c r="BM202" s="12" t="s">
        <v>2292</v>
      </c>
      <c r="BN202" s="12" t="s">
        <v>2292</v>
      </c>
      <c r="BO202" s="12" t="s">
        <v>2292</v>
      </c>
      <c r="BP202" s="12"/>
      <c r="BQ202" s="12"/>
      <c r="BR202" s="12"/>
      <c r="BS202" s="12"/>
      <c r="BT202" s="12"/>
      <c r="BU202" s="12"/>
      <c r="BV202" s="12"/>
      <c r="BW202" s="12"/>
      <c r="BX202" s="12"/>
      <c r="BY202" s="13" t="s">
        <v>313</v>
      </c>
      <c r="BZ202" s="13" t="s">
        <v>6189</v>
      </c>
      <c r="CA202" s="13" t="s">
        <v>6170</v>
      </c>
      <c r="CB202" s="13" t="s">
        <v>312</v>
      </c>
      <c r="CC202" s="13"/>
      <c r="CD202" s="13" t="s">
        <v>6198</v>
      </c>
      <c r="CE202" s="13"/>
      <c r="CF202" s="13"/>
    </row>
    <row r="203" spans="1:84" ht="18.600000000000001" customHeight="1" x14ac:dyDescent="0.25">
      <c r="A203" s="60" t="s">
        <v>74</v>
      </c>
      <c r="B203" s="2" t="s">
        <v>915</v>
      </c>
      <c r="C203" s="3" t="s">
        <v>2326</v>
      </c>
      <c r="D203" s="12" t="s">
        <v>4928</v>
      </c>
      <c r="E203" s="12" t="s">
        <v>917</v>
      </c>
      <c r="F203" s="12" t="s">
        <v>3955</v>
      </c>
      <c r="G203" s="25">
        <v>305221</v>
      </c>
      <c r="H203" s="25">
        <v>250925</v>
      </c>
      <c r="I203" s="25">
        <v>12508</v>
      </c>
      <c r="J203" s="25">
        <v>21883</v>
      </c>
      <c r="K203" s="25">
        <v>264717</v>
      </c>
      <c r="L203" s="25">
        <v>108330</v>
      </c>
      <c r="M203" s="25">
        <v>373047</v>
      </c>
      <c r="N203" s="31">
        <v>0.71</v>
      </c>
      <c r="O203" s="25">
        <v>0</v>
      </c>
      <c r="P203" s="25">
        <v>2081</v>
      </c>
      <c r="Q203" s="25">
        <v>17002</v>
      </c>
      <c r="R203" s="25">
        <v>111</v>
      </c>
      <c r="S203" s="25">
        <v>141</v>
      </c>
      <c r="T203" s="25">
        <v>2525</v>
      </c>
      <c r="U203" s="61">
        <v>119</v>
      </c>
      <c r="V203" s="58">
        <v>5.5999999999999999E-3</v>
      </c>
      <c r="W203" s="33">
        <v>6.4999999999999997E-3</v>
      </c>
      <c r="X203" s="33">
        <v>3.7000000000000002E-3</v>
      </c>
      <c r="Y203" s="33">
        <v>2.8999999999999998E-3</v>
      </c>
      <c r="Z203" s="33">
        <v>6.4000000000000003E-3</v>
      </c>
      <c r="AA203" s="33">
        <v>5.4999999999999997E-3</v>
      </c>
      <c r="AB203" s="25">
        <v>708</v>
      </c>
      <c r="AC203" s="25">
        <v>454</v>
      </c>
      <c r="AD203" s="25">
        <v>132</v>
      </c>
      <c r="AE203" s="25">
        <v>3</v>
      </c>
      <c r="AF203" s="25">
        <v>118</v>
      </c>
      <c r="AG203" s="25">
        <v>0</v>
      </c>
      <c r="AH203" s="25">
        <v>1</v>
      </c>
      <c r="AI203" s="12">
        <v>1.61</v>
      </c>
      <c r="AJ203" s="25">
        <v>86491</v>
      </c>
      <c r="AK203" s="25">
        <v>30594</v>
      </c>
      <c r="AL203" s="33">
        <v>0.54730000000000001</v>
      </c>
      <c r="AM203" s="3" t="s">
        <v>2326</v>
      </c>
      <c r="AN203" s="12" t="s">
        <v>917</v>
      </c>
      <c r="AO203" s="12" t="s">
        <v>917</v>
      </c>
      <c r="AP203" s="12" t="str">
        <f>"479586265526455"</f>
        <v>479586265526455</v>
      </c>
      <c r="AQ203" s="12" t="s">
        <v>4928</v>
      </c>
      <c r="AR203" s="12" t="s">
        <v>918</v>
      </c>
      <c r="AS203" s="12" t="s">
        <v>5233</v>
      </c>
      <c r="AT203" s="12"/>
      <c r="AU203" s="12" t="s">
        <v>319</v>
      </c>
      <c r="AV203" s="12"/>
      <c r="AW203" s="12"/>
      <c r="AX203" s="12">
        <v>0</v>
      </c>
      <c r="AY203" s="12">
        <v>1668</v>
      </c>
      <c r="AZ203" s="12">
        <v>0</v>
      </c>
      <c r="BA203" s="12" t="s">
        <v>916</v>
      </c>
      <c r="BB203" s="12"/>
      <c r="BC203" s="12" t="s">
        <v>6314</v>
      </c>
      <c r="BD203" s="12"/>
      <c r="BE203" s="12" t="s">
        <v>2291</v>
      </c>
      <c r="BF203" s="12"/>
      <c r="BG203" s="12"/>
      <c r="BH203" s="12"/>
      <c r="BI203" s="12"/>
      <c r="BJ203" s="12"/>
      <c r="BK203" s="12"/>
      <c r="BL203" s="12" t="s">
        <v>2292</v>
      </c>
      <c r="BM203" s="12" t="s">
        <v>2292</v>
      </c>
      <c r="BN203" s="12" t="s">
        <v>2292</v>
      </c>
      <c r="BO203" s="12" t="s">
        <v>2292</v>
      </c>
      <c r="BP203" s="12"/>
      <c r="BQ203" s="12"/>
      <c r="BR203" s="12"/>
      <c r="BS203" s="12"/>
      <c r="BT203" s="12"/>
      <c r="BU203" s="12"/>
      <c r="BV203" s="12"/>
      <c r="BW203" s="12"/>
      <c r="BX203" s="12"/>
      <c r="BY203" s="13" t="s">
        <v>313</v>
      </c>
      <c r="BZ203" s="13" t="s">
        <v>6170</v>
      </c>
      <c r="CA203" s="13" t="s">
        <v>6170</v>
      </c>
      <c r="CB203" s="13" t="s">
        <v>312</v>
      </c>
      <c r="CC203" s="13"/>
      <c r="CD203" s="13" t="s">
        <v>6198</v>
      </c>
      <c r="CE203" s="13"/>
      <c r="CF203" s="13"/>
    </row>
    <row r="204" spans="1:84" ht="18.600000000000001" customHeight="1" x14ac:dyDescent="0.25">
      <c r="A204" s="60" t="s">
        <v>74</v>
      </c>
      <c r="B204" s="2" t="s">
        <v>915</v>
      </c>
      <c r="C204" s="3" t="s">
        <v>2645</v>
      </c>
      <c r="D204" s="12" t="s">
        <v>938</v>
      </c>
      <c r="E204" s="12" t="s">
        <v>940</v>
      </c>
      <c r="F204" s="12" t="s">
        <v>4135</v>
      </c>
      <c r="G204" s="25">
        <v>55</v>
      </c>
      <c r="H204" s="25">
        <v>39</v>
      </c>
      <c r="I204" s="25">
        <v>5</v>
      </c>
      <c r="J204" s="25">
        <v>3</v>
      </c>
      <c r="K204" s="25">
        <v>0</v>
      </c>
      <c r="L204" s="25">
        <v>0</v>
      </c>
      <c r="M204" s="25">
        <v>0</v>
      </c>
      <c r="N204" s="31">
        <v>0</v>
      </c>
      <c r="O204" s="25">
        <v>0</v>
      </c>
      <c r="P204" s="25">
        <v>0</v>
      </c>
      <c r="Q204" s="25">
        <v>4</v>
      </c>
      <c r="R204" s="25">
        <v>0</v>
      </c>
      <c r="S204" s="25">
        <v>3</v>
      </c>
      <c r="T204" s="25">
        <v>0</v>
      </c>
      <c r="U204" s="61">
        <v>1</v>
      </c>
      <c r="V204" s="58">
        <v>2.4E-2</v>
      </c>
      <c r="W204" s="33">
        <v>2.3E-2</v>
      </c>
      <c r="X204" s="12" t="s">
        <v>3926</v>
      </c>
      <c r="Y204" s="12" t="s">
        <v>3926</v>
      </c>
      <c r="Z204" s="12" t="s">
        <v>3926</v>
      </c>
      <c r="AA204" s="12" t="s">
        <v>3926</v>
      </c>
      <c r="AB204" s="25">
        <v>2</v>
      </c>
      <c r="AC204" s="25">
        <v>2</v>
      </c>
      <c r="AD204" s="25">
        <v>0</v>
      </c>
      <c r="AE204" s="25">
        <v>0</v>
      </c>
      <c r="AF204" s="25">
        <v>0</v>
      </c>
      <c r="AG204" s="25">
        <v>0</v>
      </c>
      <c r="AH204" s="25">
        <v>0</v>
      </c>
      <c r="AI204" s="12">
        <v>0</v>
      </c>
      <c r="AJ204" s="25">
        <v>1259</v>
      </c>
      <c r="AK204" s="25">
        <v>437</v>
      </c>
      <c r="AL204" s="33">
        <v>0.53159999999999996</v>
      </c>
      <c r="AM204" s="3" t="s">
        <v>2645</v>
      </c>
      <c r="AN204" s="12" t="s">
        <v>940</v>
      </c>
      <c r="AO204" s="12" t="s">
        <v>940</v>
      </c>
      <c r="AP204" s="12" t="str">
        <f>"653333608105875"</f>
        <v>653333608105875</v>
      </c>
      <c r="AQ204" s="12" t="s">
        <v>938</v>
      </c>
      <c r="AR204" s="12" t="s">
        <v>941</v>
      </c>
      <c r="AS204" s="12" t="s">
        <v>942</v>
      </c>
      <c r="AT204" s="12"/>
      <c r="AU204" s="12" t="s">
        <v>660</v>
      </c>
      <c r="AV204" s="12"/>
      <c r="AW204" s="12"/>
      <c r="AX204" s="12">
        <v>0</v>
      </c>
      <c r="AY204" s="12">
        <v>0</v>
      </c>
      <c r="AZ204" s="12">
        <v>0</v>
      </c>
      <c r="BA204" s="12" t="s">
        <v>939</v>
      </c>
      <c r="BB204" s="12"/>
      <c r="BC204" s="12" t="s">
        <v>6740</v>
      </c>
      <c r="BD204" s="12"/>
      <c r="BE204" s="12" t="s">
        <v>2291</v>
      </c>
      <c r="BF204" s="12"/>
      <c r="BG204" s="12"/>
      <c r="BH204" s="12"/>
      <c r="BI204" s="12"/>
      <c r="BJ204" s="12"/>
      <c r="BK204" s="12"/>
      <c r="BL204" s="12" t="s">
        <v>2292</v>
      </c>
      <c r="BM204" s="12" t="s">
        <v>2292</v>
      </c>
      <c r="BN204" s="12" t="s">
        <v>2292</v>
      </c>
      <c r="BO204" s="12" t="s">
        <v>2292</v>
      </c>
      <c r="BP204" s="12"/>
      <c r="BQ204" s="12"/>
      <c r="BR204" s="12"/>
      <c r="BS204" s="12"/>
      <c r="BT204" s="12"/>
      <c r="BU204" s="12"/>
      <c r="BV204" s="12"/>
      <c r="BW204" s="12"/>
      <c r="BX204" s="12"/>
      <c r="BY204" s="13" t="s">
        <v>313</v>
      </c>
      <c r="BZ204" s="13" t="s">
        <v>6170</v>
      </c>
      <c r="CA204" s="13" t="s">
        <v>6170</v>
      </c>
      <c r="CB204" s="13" t="s">
        <v>312</v>
      </c>
      <c r="CC204" s="13"/>
      <c r="CD204" s="13" t="s">
        <v>6198</v>
      </c>
      <c r="CE204" s="13"/>
      <c r="CF204" s="13"/>
    </row>
    <row r="205" spans="1:84" ht="18.600000000000001" customHeight="1" x14ac:dyDescent="0.25">
      <c r="A205" s="60" t="s">
        <v>74</v>
      </c>
      <c r="B205" s="2" t="s">
        <v>928</v>
      </c>
      <c r="C205" s="3" t="s">
        <v>2955</v>
      </c>
      <c r="D205" s="12" t="s">
        <v>920</v>
      </c>
      <c r="E205" s="12" t="s">
        <v>919</v>
      </c>
      <c r="F205" s="12" t="s">
        <v>4342</v>
      </c>
      <c r="G205" s="25">
        <v>0</v>
      </c>
      <c r="H205" s="25">
        <v>0</v>
      </c>
      <c r="I205" s="25">
        <v>0</v>
      </c>
      <c r="J205" s="25">
        <v>0</v>
      </c>
      <c r="K205" s="25">
        <v>0</v>
      </c>
      <c r="L205" s="25">
        <v>0</v>
      </c>
      <c r="M205" s="25">
        <v>0</v>
      </c>
      <c r="N205" s="31">
        <v>0</v>
      </c>
      <c r="O205" s="25">
        <v>0</v>
      </c>
      <c r="P205" s="25">
        <v>0</v>
      </c>
      <c r="Q205" s="25">
        <v>0</v>
      </c>
      <c r="R205" s="25">
        <v>0</v>
      </c>
      <c r="S205" s="25">
        <v>0</v>
      </c>
      <c r="T205" s="25">
        <v>0</v>
      </c>
      <c r="U205" s="61">
        <v>0</v>
      </c>
      <c r="V205" s="59"/>
      <c r="W205" s="12" t="s">
        <v>3926</v>
      </c>
      <c r="X205" s="12" t="s">
        <v>3926</v>
      </c>
      <c r="Y205" s="12" t="s">
        <v>3926</v>
      </c>
      <c r="Z205" s="12" t="s">
        <v>3926</v>
      </c>
      <c r="AA205" s="12" t="s">
        <v>3926</v>
      </c>
      <c r="AB205" s="25" t="s">
        <v>3927</v>
      </c>
      <c r="AC205" s="25">
        <v>0</v>
      </c>
      <c r="AD205" s="25">
        <v>0</v>
      </c>
      <c r="AE205" s="25">
        <v>0</v>
      </c>
      <c r="AF205" s="25">
        <v>0</v>
      </c>
      <c r="AG205" s="25">
        <v>0</v>
      </c>
      <c r="AH205" s="25">
        <v>0</v>
      </c>
      <c r="AI205" s="12">
        <v>0</v>
      </c>
      <c r="AJ205" s="25">
        <v>253754</v>
      </c>
      <c r="AK205" s="25">
        <v>-1462</v>
      </c>
      <c r="AL205" s="33">
        <v>-5.7000000000000002E-3</v>
      </c>
      <c r="AM205" s="3" t="s">
        <v>2955</v>
      </c>
      <c r="AN205" s="12" t="s">
        <v>919</v>
      </c>
      <c r="AO205" s="12" t="s">
        <v>919</v>
      </c>
      <c r="AP205" s="12" t="str">
        <f>"320374868088939"</f>
        <v>320374868088939</v>
      </c>
      <c r="AQ205" s="12" t="s">
        <v>920</v>
      </c>
      <c r="AR205" s="12" t="s">
        <v>921</v>
      </c>
      <c r="AS205" s="12" t="s">
        <v>2956</v>
      </c>
      <c r="AT205" s="12" t="s">
        <v>2957</v>
      </c>
      <c r="AU205" s="12" t="s">
        <v>309</v>
      </c>
      <c r="AV205" s="12"/>
      <c r="AW205" s="12"/>
      <c r="AX205" s="12">
        <v>0</v>
      </c>
      <c r="AY205" s="12">
        <v>103</v>
      </c>
      <c r="AZ205" s="12">
        <v>0</v>
      </c>
      <c r="BA205" s="12" t="s">
        <v>922</v>
      </c>
      <c r="BB205" s="12" t="s">
        <v>5914</v>
      </c>
      <c r="BC205" s="12" t="s">
        <v>7199</v>
      </c>
      <c r="BD205" s="12"/>
      <c r="BE205" s="12" t="s">
        <v>2291</v>
      </c>
      <c r="BF205" s="12"/>
      <c r="BG205" s="12"/>
      <c r="BH205" s="12"/>
      <c r="BI205" s="12"/>
      <c r="BJ205" s="12"/>
      <c r="BK205" s="12"/>
      <c r="BL205" s="12" t="s">
        <v>2292</v>
      </c>
      <c r="BM205" s="12" t="s">
        <v>2292</v>
      </c>
      <c r="BN205" s="12" t="s">
        <v>2292</v>
      </c>
      <c r="BO205" s="12" t="s">
        <v>2292</v>
      </c>
      <c r="BP205" s="12"/>
      <c r="BQ205" s="12"/>
      <c r="BR205" s="12"/>
      <c r="BS205" s="12"/>
      <c r="BT205" s="12"/>
      <c r="BU205" s="12"/>
      <c r="BV205" s="12"/>
      <c r="BW205" s="12" t="s">
        <v>923</v>
      </c>
      <c r="BX205" s="12"/>
      <c r="BY205" s="18" t="s">
        <v>344</v>
      </c>
      <c r="BZ205" s="13" t="s">
        <v>6170</v>
      </c>
      <c r="CA205" s="13" t="s">
        <v>6170</v>
      </c>
      <c r="CB205" s="13" t="s">
        <v>312</v>
      </c>
      <c r="CC205" s="13"/>
      <c r="CD205" s="13" t="s">
        <v>6198</v>
      </c>
      <c r="CE205" s="13"/>
      <c r="CF205" s="13"/>
    </row>
    <row r="206" spans="1:84" ht="18.600000000000001" customHeight="1" x14ac:dyDescent="0.25">
      <c r="A206" s="60" t="s">
        <v>74</v>
      </c>
      <c r="B206" s="2" t="s">
        <v>928</v>
      </c>
      <c r="C206" s="3" t="s">
        <v>2863</v>
      </c>
      <c r="D206" s="12" t="s">
        <v>924</v>
      </c>
      <c r="E206" s="12" t="s">
        <v>925</v>
      </c>
      <c r="F206" s="12" t="s">
        <v>4281</v>
      </c>
      <c r="G206" s="25">
        <v>20006</v>
      </c>
      <c r="H206" s="25">
        <v>16889</v>
      </c>
      <c r="I206" s="25">
        <v>1121</v>
      </c>
      <c r="J206" s="25">
        <v>861</v>
      </c>
      <c r="K206" s="25">
        <v>41451</v>
      </c>
      <c r="L206" s="25">
        <v>4766</v>
      </c>
      <c r="M206" s="25">
        <v>46217</v>
      </c>
      <c r="N206" s="31">
        <v>0.9</v>
      </c>
      <c r="O206" s="25">
        <v>0</v>
      </c>
      <c r="P206" s="25">
        <v>0</v>
      </c>
      <c r="Q206" s="25">
        <v>844</v>
      </c>
      <c r="R206" s="25">
        <v>32</v>
      </c>
      <c r="S206" s="25">
        <v>107</v>
      </c>
      <c r="T206" s="25">
        <v>79</v>
      </c>
      <c r="U206" s="61">
        <v>32</v>
      </c>
      <c r="V206" s="58">
        <v>1.8E-3</v>
      </c>
      <c r="W206" s="33">
        <v>1.9E-3</v>
      </c>
      <c r="X206" s="12" t="s">
        <v>3926</v>
      </c>
      <c r="Y206" s="33">
        <v>6.9999999999999999E-4</v>
      </c>
      <c r="Z206" s="33">
        <v>1.5E-3</v>
      </c>
      <c r="AA206" s="12" t="s">
        <v>3926</v>
      </c>
      <c r="AB206" s="25">
        <v>97</v>
      </c>
      <c r="AC206" s="25">
        <v>75</v>
      </c>
      <c r="AD206" s="25">
        <v>0</v>
      </c>
      <c r="AE206" s="25">
        <v>3</v>
      </c>
      <c r="AF206" s="25">
        <v>19</v>
      </c>
      <c r="AG206" s="25">
        <v>0</v>
      </c>
      <c r="AH206" s="25">
        <v>0</v>
      </c>
      <c r="AI206" s="12">
        <v>0.22</v>
      </c>
      <c r="AJ206" s="25">
        <v>116989</v>
      </c>
      <c r="AK206" s="25">
        <v>110</v>
      </c>
      <c r="AL206" s="33">
        <v>8.9999999999999998E-4</v>
      </c>
      <c r="AM206" s="3" t="s">
        <v>2863</v>
      </c>
      <c r="AN206" s="12" t="s">
        <v>925</v>
      </c>
      <c r="AO206" s="12" t="s">
        <v>925</v>
      </c>
      <c r="AP206" s="12" t="str">
        <f>"469766193112447"</f>
        <v>469766193112447</v>
      </c>
      <c r="AQ206" s="12" t="s">
        <v>924</v>
      </c>
      <c r="AR206" s="12"/>
      <c r="AS206" s="12" t="s">
        <v>926</v>
      </c>
      <c r="AT206" s="12" t="s">
        <v>2864</v>
      </c>
      <c r="AU206" s="12" t="s">
        <v>424</v>
      </c>
      <c r="AV206" s="12"/>
      <c r="AW206" s="12"/>
      <c r="AX206" s="12">
        <v>0</v>
      </c>
      <c r="AY206" s="12">
        <v>60</v>
      </c>
      <c r="AZ206" s="12">
        <v>0</v>
      </c>
      <c r="BA206" s="12" t="s">
        <v>927</v>
      </c>
      <c r="BB206" s="12"/>
      <c r="BC206" s="12" t="s">
        <v>7063</v>
      </c>
      <c r="BD206" s="12"/>
      <c r="BE206" s="12" t="s">
        <v>2291</v>
      </c>
      <c r="BF206" s="12"/>
      <c r="BG206" s="12"/>
      <c r="BH206" s="12"/>
      <c r="BI206" s="12"/>
      <c r="BJ206" s="12"/>
      <c r="BK206" s="12"/>
      <c r="BL206" s="12" t="s">
        <v>2292</v>
      </c>
      <c r="BM206" s="12" t="s">
        <v>2292</v>
      </c>
      <c r="BN206" s="12" t="s">
        <v>2292</v>
      </c>
      <c r="BO206" s="12" t="s">
        <v>2292</v>
      </c>
      <c r="BP206" s="12"/>
      <c r="BQ206" s="12"/>
      <c r="BR206" s="12"/>
      <c r="BS206" s="12"/>
      <c r="BT206" s="12"/>
      <c r="BU206" s="12"/>
      <c r="BV206" s="12"/>
      <c r="BW206" s="12"/>
      <c r="BX206" s="12"/>
      <c r="BY206" s="13" t="s">
        <v>313</v>
      </c>
      <c r="BZ206" s="13" t="s">
        <v>6170</v>
      </c>
      <c r="CA206" s="13" t="s">
        <v>6170</v>
      </c>
      <c r="CB206" s="13" t="s">
        <v>312</v>
      </c>
      <c r="CC206" s="13"/>
      <c r="CD206" s="13" t="s">
        <v>6198</v>
      </c>
      <c r="CE206" s="13"/>
      <c r="CF206" s="13"/>
    </row>
    <row r="207" spans="1:84" ht="18.600000000000001" customHeight="1" x14ac:dyDescent="0.25">
      <c r="A207" s="60" t="s">
        <v>74</v>
      </c>
      <c r="B207" s="2" t="s">
        <v>933</v>
      </c>
      <c r="C207" s="3" t="s">
        <v>2630</v>
      </c>
      <c r="D207" s="12" t="s">
        <v>929</v>
      </c>
      <c r="E207" s="12" t="s">
        <v>930</v>
      </c>
      <c r="F207" s="12" t="s">
        <v>4128</v>
      </c>
      <c r="G207" s="25">
        <v>26876</v>
      </c>
      <c r="H207" s="25">
        <v>23917</v>
      </c>
      <c r="I207" s="25">
        <v>1489</v>
      </c>
      <c r="J207" s="25">
        <v>198</v>
      </c>
      <c r="K207" s="25">
        <v>0</v>
      </c>
      <c r="L207" s="25">
        <v>0</v>
      </c>
      <c r="M207" s="25">
        <v>0</v>
      </c>
      <c r="N207" s="31">
        <v>0</v>
      </c>
      <c r="O207" s="25">
        <v>0</v>
      </c>
      <c r="P207" s="25">
        <v>0</v>
      </c>
      <c r="Q207" s="25">
        <v>1072</v>
      </c>
      <c r="R207" s="25">
        <v>9</v>
      </c>
      <c r="S207" s="25">
        <v>172</v>
      </c>
      <c r="T207" s="25">
        <v>3</v>
      </c>
      <c r="U207" s="61">
        <v>16</v>
      </c>
      <c r="V207" s="58">
        <v>9.7999999999999997E-3</v>
      </c>
      <c r="W207" s="33">
        <v>1.34E-2</v>
      </c>
      <c r="X207" s="12" t="s">
        <v>3926</v>
      </c>
      <c r="Y207" s="33">
        <v>2.5999999999999999E-3</v>
      </c>
      <c r="Z207" s="12" t="s">
        <v>3926</v>
      </c>
      <c r="AA207" s="12" t="s">
        <v>3926</v>
      </c>
      <c r="AB207" s="25">
        <v>3</v>
      </c>
      <c r="AC207" s="25">
        <v>2</v>
      </c>
      <c r="AD207" s="25">
        <v>0</v>
      </c>
      <c r="AE207" s="25">
        <v>1</v>
      </c>
      <c r="AF207" s="25">
        <v>0</v>
      </c>
      <c r="AG207" s="25">
        <v>0</v>
      </c>
      <c r="AH207" s="25">
        <v>0</v>
      </c>
      <c r="AI207" s="12">
        <v>0.01</v>
      </c>
      <c r="AJ207" s="25">
        <v>911427</v>
      </c>
      <c r="AK207" s="25">
        <v>-8632</v>
      </c>
      <c r="AL207" s="33">
        <v>-9.4000000000000004E-3</v>
      </c>
      <c r="AM207" s="3" t="s">
        <v>2630</v>
      </c>
      <c r="AN207" s="12" t="s">
        <v>930</v>
      </c>
      <c r="AO207" s="12" t="s">
        <v>930</v>
      </c>
      <c r="AP207" s="12" t="str">
        <f>"643891235622328"</f>
        <v>643891235622328</v>
      </c>
      <c r="AQ207" s="12" t="s">
        <v>929</v>
      </c>
      <c r="AR207" s="12"/>
      <c r="AS207" s="12" t="s">
        <v>2631</v>
      </c>
      <c r="AT207" s="12" t="s">
        <v>3274</v>
      </c>
      <c r="AU207" s="12" t="s">
        <v>319</v>
      </c>
      <c r="AV207" s="12"/>
      <c r="AW207" s="12"/>
      <c r="AX207" s="12">
        <v>0</v>
      </c>
      <c r="AY207" s="12">
        <v>361</v>
      </c>
      <c r="AZ207" s="12">
        <v>0</v>
      </c>
      <c r="BA207" s="12" t="s">
        <v>931</v>
      </c>
      <c r="BB207" s="12"/>
      <c r="BC207" s="12" t="s">
        <v>6717</v>
      </c>
      <c r="BD207" s="12" t="s">
        <v>932</v>
      </c>
      <c r="BE207" s="12" t="s">
        <v>2291</v>
      </c>
      <c r="BF207" s="12"/>
      <c r="BG207" s="12"/>
      <c r="BH207" s="12"/>
      <c r="BI207" s="12"/>
      <c r="BJ207" s="12"/>
      <c r="BK207" s="12"/>
      <c r="BL207" s="12" t="s">
        <v>2292</v>
      </c>
      <c r="BM207" s="12" t="s">
        <v>2292</v>
      </c>
      <c r="BN207" s="12" t="s">
        <v>2292</v>
      </c>
      <c r="BO207" s="12" t="s">
        <v>2291</v>
      </c>
      <c r="BP207" s="12"/>
      <c r="BQ207" s="12"/>
      <c r="BR207" s="12"/>
      <c r="BS207" s="12"/>
      <c r="BT207" s="12"/>
      <c r="BU207" s="12"/>
      <c r="BV207" s="12"/>
      <c r="BW207" s="12"/>
      <c r="BX207" s="12"/>
      <c r="BY207" s="13" t="s">
        <v>313</v>
      </c>
      <c r="BZ207" s="13" t="s">
        <v>312</v>
      </c>
      <c r="CA207" s="13"/>
      <c r="CB207" s="13"/>
      <c r="CC207" s="13"/>
      <c r="CD207" s="13"/>
      <c r="CE207" s="13"/>
      <c r="CF207" s="13"/>
    </row>
    <row r="208" spans="1:84" ht="18.600000000000001" customHeight="1" x14ac:dyDescent="0.25">
      <c r="A208" s="60" t="s">
        <v>74</v>
      </c>
      <c r="B208" s="2" t="s">
        <v>335</v>
      </c>
      <c r="C208" s="3" t="s">
        <v>2757</v>
      </c>
      <c r="D208" s="12" t="s">
        <v>935</v>
      </c>
      <c r="E208" s="12" t="s">
        <v>934</v>
      </c>
      <c r="F208" s="12" t="s">
        <v>4199</v>
      </c>
      <c r="G208" s="25">
        <v>0</v>
      </c>
      <c r="H208" s="25">
        <v>0</v>
      </c>
      <c r="I208" s="25">
        <v>0</v>
      </c>
      <c r="J208" s="25">
        <v>0</v>
      </c>
      <c r="K208" s="25">
        <v>0</v>
      </c>
      <c r="L208" s="25">
        <v>0</v>
      </c>
      <c r="M208" s="25">
        <v>0</v>
      </c>
      <c r="N208" s="31">
        <v>0</v>
      </c>
      <c r="O208" s="25">
        <v>0</v>
      </c>
      <c r="P208" s="25">
        <v>0</v>
      </c>
      <c r="Q208" s="25">
        <v>0</v>
      </c>
      <c r="R208" s="25">
        <v>0</v>
      </c>
      <c r="S208" s="25">
        <v>0</v>
      </c>
      <c r="T208" s="25">
        <v>0</v>
      </c>
      <c r="U208" s="61">
        <v>0</v>
      </c>
      <c r="V208" s="59"/>
      <c r="W208" s="12" t="s">
        <v>3926</v>
      </c>
      <c r="X208" s="12" t="s">
        <v>3926</v>
      </c>
      <c r="Y208" s="12" t="s">
        <v>3926</v>
      </c>
      <c r="Z208" s="12" t="s">
        <v>3926</v>
      </c>
      <c r="AA208" s="12" t="s">
        <v>3926</v>
      </c>
      <c r="AB208" s="25" t="s">
        <v>3927</v>
      </c>
      <c r="AC208" s="25">
        <v>0</v>
      </c>
      <c r="AD208" s="25">
        <v>0</v>
      </c>
      <c r="AE208" s="25">
        <v>0</v>
      </c>
      <c r="AF208" s="25">
        <v>0</v>
      </c>
      <c r="AG208" s="25">
        <v>0</v>
      </c>
      <c r="AH208" s="25">
        <v>0</v>
      </c>
      <c r="AI208" s="12">
        <v>0</v>
      </c>
      <c r="AJ208" s="25">
        <v>18431</v>
      </c>
      <c r="AK208" s="25">
        <v>390</v>
      </c>
      <c r="AL208" s="33">
        <v>2.1600000000000001E-2</v>
      </c>
      <c r="AM208" s="3" t="s">
        <v>2757</v>
      </c>
      <c r="AN208" s="12" t="s">
        <v>934</v>
      </c>
      <c r="AO208" s="12" t="s">
        <v>934</v>
      </c>
      <c r="AP208" s="12" t="str">
        <f>"712490972125162"</f>
        <v>712490972125162</v>
      </c>
      <c r="AQ208" s="12" t="s">
        <v>935</v>
      </c>
      <c r="AR208" s="12" t="s">
        <v>936</v>
      </c>
      <c r="AS208" s="12" t="s">
        <v>2758</v>
      </c>
      <c r="AT208" s="12"/>
      <c r="AU208" s="12" t="s">
        <v>324</v>
      </c>
      <c r="AV208" s="12"/>
      <c r="AW208" s="12"/>
      <c r="AX208" s="12">
        <v>0</v>
      </c>
      <c r="AY208" s="12">
        <v>23</v>
      </c>
      <c r="AZ208" s="12">
        <v>0</v>
      </c>
      <c r="BA208" s="12" t="s">
        <v>937</v>
      </c>
      <c r="BB208" s="12" t="s">
        <v>5914</v>
      </c>
      <c r="BC208" s="12" t="s">
        <v>6903</v>
      </c>
      <c r="BD208" s="12"/>
      <c r="BE208" s="12" t="s">
        <v>2291</v>
      </c>
      <c r="BF208" s="12"/>
      <c r="BG208" s="12"/>
      <c r="BH208" s="12"/>
      <c r="BI208" s="12"/>
      <c r="BJ208" s="12"/>
      <c r="BK208" s="12" t="s">
        <v>6904</v>
      </c>
      <c r="BL208" s="12" t="s">
        <v>2292</v>
      </c>
      <c r="BM208" s="12" t="s">
        <v>2292</v>
      </c>
      <c r="BN208" s="12" t="s">
        <v>2292</v>
      </c>
      <c r="BO208" s="12" t="s">
        <v>2292</v>
      </c>
      <c r="BP208" s="12"/>
      <c r="BQ208" s="12"/>
      <c r="BR208" s="12"/>
      <c r="BS208" s="12"/>
      <c r="BT208" s="12">
        <v>66739191</v>
      </c>
      <c r="BU208" s="12"/>
      <c r="BV208" s="12"/>
      <c r="BW208" s="12" t="s">
        <v>923</v>
      </c>
      <c r="BX208" s="12"/>
      <c r="BY208" s="2" t="s">
        <v>344</v>
      </c>
      <c r="BZ208" s="13" t="s">
        <v>6170</v>
      </c>
      <c r="CA208" s="13" t="s">
        <v>6170</v>
      </c>
      <c r="CB208" s="13" t="s">
        <v>312</v>
      </c>
      <c r="CC208" s="13"/>
      <c r="CD208" s="13" t="s">
        <v>6198</v>
      </c>
      <c r="CE208" s="13"/>
      <c r="CF208" s="13"/>
    </row>
    <row r="209" spans="1:84" ht="18.600000000000001" customHeight="1" x14ac:dyDescent="0.25">
      <c r="A209" s="60" t="s">
        <v>75</v>
      </c>
      <c r="B209" s="2" t="s">
        <v>945</v>
      </c>
      <c r="C209" s="3" t="s">
        <v>3902</v>
      </c>
      <c r="D209" s="12" t="s">
        <v>943</v>
      </c>
      <c r="E209" s="12" t="s">
        <v>3419</v>
      </c>
      <c r="F209" s="12" t="s">
        <v>4097</v>
      </c>
      <c r="G209" s="25">
        <v>8007859</v>
      </c>
      <c r="H209" s="25">
        <v>6163751</v>
      </c>
      <c r="I209" s="25">
        <v>1408943</v>
      </c>
      <c r="J209" s="25">
        <v>67224</v>
      </c>
      <c r="K209" s="25">
        <v>311732</v>
      </c>
      <c r="L209" s="25">
        <v>44492</v>
      </c>
      <c r="M209" s="25">
        <v>356224</v>
      </c>
      <c r="N209" s="31">
        <v>0.88</v>
      </c>
      <c r="O209" s="25">
        <v>0</v>
      </c>
      <c r="P209" s="25">
        <v>0</v>
      </c>
      <c r="Q209" s="25">
        <v>182430</v>
      </c>
      <c r="R209" s="25">
        <v>22675</v>
      </c>
      <c r="S209" s="25">
        <v>142523</v>
      </c>
      <c r="T209" s="25">
        <v>6618</v>
      </c>
      <c r="U209" s="61">
        <v>13692</v>
      </c>
      <c r="V209" s="58">
        <v>3.2000000000000002E-3</v>
      </c>
      <c r="W209" s="33">
        <v>2.3999999999999998E-3</v>
      </c>
      <c r="X209" s="33">
        <v>8.8999999999999999E-3</v>
      </c>
      <c r="Y209" s="33">
        <v>3.8E-3</v>
      </c>
      <c r="Z209" s="33">
        <v>4.3E-3</v>
      </c>
      <c r="AA209" s="12" t="s">
        <v>3926</v>
      </c>
      <c r="AB209" s="25">
        <v>2011</v>
      </c>
      <c r="AC209" s="25">
        <v>1025</v>
      </c>
      <c r="AD209" s="25">
        <v>2</v>
      </c>
      <c r="AE209" s="25">
        <v>979</v>
      </c>
      <c r="AF209" s="25">
        <v>5</v>
      </c>
      <c r="AG209" s="25">
        <v>0</v>
      </c>
      <c r="AH209" s="25">
        <v>0</v>
      </c>
      <c r="AI209" s="12">
        <v>4.58</v>
      </c>
      <c r="AJ209" s="25">
        <v>1423708</v>
      </c>
      <c r="AK209" s="25">
        <v>284341</v>
      </c>
      <c r="AL209" s="33">
        <v>0.24959999999999999</v>
      </c>
      <c r="AM209" s="3" t="s">
        <v>3902</v>
      </c>
      <c r="AN209" s="12" t="s">
        <v>3419</v>
      </c>
      <c r="AO209" s="12" t="s">
        <v>3419</v>
      </c>
      <c r="AP209" s="12" t="str">
        <f>"204803838632"</f>
        <v>204803838632</v>
      </c>
      <c r="AQ209" s="12" t="s">
        <v>943</v>
      </c>
      <c r="AR209" s="12" t="s">
        <v>944</v>
      </c>
      <c r="AS209" s="12" t="s">
        <v>2566</v>
      </c>
      <c r="AT209" s="12" t="s">
        <v>2567</v>
      </c>
      <c r="AU209" s="12" t="s">
        <v>309</v>
      </c>
      <c r="AV209" s="12"/>
      <c r="AW209" s="12"/>
      <c r="AX209" s="12">
        <v>0</v>
      </c>
      <c r="AY209" s="12">
        <v>54428</v>
      </c>
      <c r="AZ209" s="12">
        <v>0</v>
      </c>
      <c r="BA209" s="12" t="s">
        <v>3420</v>
      </c>
      <c r="BB209" s="12"/>
      <c r="BC209" s="12" t="s">
        <v>6638</v>
      </c>
      <c r="BD209" s="12"/>
      <c r="BE209" s="12" t="s">
        <v>2291</v>
      </c>
      <c r="BF209" s="12"/>
      <c r="BG209" s="12"/>
      <c r="BH209" s="12"/>
      <c r="BI209" s="12"/>
      <c r="BJ209" s="12"/>
      <c r="BK209" s="12"/>
      <c r="BL209" s="12" t="s">
        <v>2292</v>
      </c>
      <c r="BM209" s="12" t="s">
        <v>2292</v>
      </c>
      <c r="BN209" s="12" t="s">
        <v>2292</v>
      </c>
      <c r="BO209" s="12" t="s">
        <v>2291</v>
      </c>
      <c r="BP209" s="12"/>
      <c r="BQ209" s="12"/>
      <c r="BR209" s="12" t="s">
        <v>2568</v>
      </c>
      <c r="BS209" s="12"/>
      <c r="BT209" s="12"/>
      <c r="BU209" s="12"/>
      <c r="BV209" s="12"/>
      <c r="BW209" s="12"/>
      <c r="BX209" s="12"/>
      <c r="BY209" s="13" t="s">
        <v>313</v>
      </c>
      <c r="BZ209" s="13" t="s">
        <v>6170</v>
      </c>
      <c r="CA209" s="13" t="s">
        <v>6170</v>
      </c>
      <c r="CB209" s="13" t="s">
        <v>312</v>
      </c>
      <c r="CC209" s="13"/>
      <c r="CD209" s="13" t="s">
        <v>6198</v>
      </c>
      <c r="CE209" s="13"/>
      <c r="CF209" s="13"/>
    </row>
    <row r="210" spans="1:84" ht="18.600000000000001" customHeight="1" x14ac:dyDescent="0.25">
      <c r="A210" s="35" t="s">
        <v>75</v>
      </c>
      <c r="B210" s="13" t="s">
        <v>315</v>
      </c>
      <c r="C210" s="3" t="s">
        <v>2594</v>
      </c>
      <c r="D210" s="12" t="s">
        <v>947</v>
      </c>
      <c r="E210" s="12" t="s">
        <v>946</v>
      </c>
      <c r="F210" s="12" t="s">
        <v>4109</v>
      </c>
      <c r="G210" s="25">
        <v>3237948</v>
      </c>
      <c r="H210" s="25">
        <v>2806580</v>
      </c>
      <c r="I210" s="25">
        <v>270711</v>
      </c>
      <c r="J210" s="25">
        <v>82274</v>
      </c>
      <c r="K210" s="25">
        <v>13582257</v>
      </c>
      <c r="L210" s="25">
        <v>1955385</v>
      </c>
      <c r="M210" s="25">
        <v>15537642</v>
      </c>
      <c r="N210" s="31">
        <v>0.87</v>
      </c>
      <c r="O210" s="25">
        <v>0</v>
      </c>
      <c r="P210" s="25">
        <v>0</v>
      </c>
      <c r="Q210" s="25">
        <v>47333</v>
      </c>
      <c r="R210" s="25">
        <v>5473</v>
      </c>
      <c r="S210" s="25">
        <v>18778</v>
      </c>
      <c r="T210" s="25">
        <v>3190</v>
      </c>
      <c r="U210" s="61">
        <v>3606</v>
      </c>
      <c r="V210" s="58">
        <v>8.0000000000000004E-4</v>
      </c>
      <c r="W210" s="33">
        <v>8.0000000000000004E-4</v>
      </c>
      <c r="X210" s="33">
        <v>5.9999999999999995E-4</v>
      </c>
      <c r="Y210" s="33">
        <v>6.9999999999999999E-4</v>
      </c>
      <c r="Z210" s="33">
        <v>1.2999999999999999E-3</v>
      </c>
      <c r="AA210" s="33">
        <v>2.9999999999999997E-4</v>
      </c>
      <c r="AB210" s="25">
        <v>1607</v>
      </c>
      <c r="AC210" s="25">
        <v>1110</v>
      </c>
      <c r="AD210" s="25">
        <v>6</v>
      </c>
      <c r="AE210" s="25">
        <v>155</v>
      </c>
      <c r="AF210" s="25">
        <v>264</v>
      </c>
      <c r="AG210" s="25">
        <v>0</v>
      </c>
      <c r="AH210" s="25">
        <v>72</v>
      </c>
      <c r="AI210" s="12">
        <v>3.66</v>
      </c>
      <c r="AJ210" s="25">
        <v>2631986</v>
      </c>
      <c r="AK210" s="25">
        <v>373978</v>
      </c>
      <c r="AL210" s="33">
        <v>0.1656</v>
      </c>
      <c r="AM210" s="3" t="s">
        <v>2594</v>
      </c>
      <c r="AN210" s="12" t="s">
        <v>946</v>
      </c>
      <c r="AO210" s="12" t="s">
        <v>946</v>
      </c>
      <c r="AP210" s="12" t="str">
        <f>"315205968664105"</f>
        <v>315205968664105</v>
      </c>
      <c r="AQ210" s="12" t="s">
        <v>947</v>
      </c>
      <c r="AR210" s="12" t="s">
        <v>948</v>
      </c>
      <c r="AS210" s="12" t="s">
        <v>949</v>
      </c>
      <c r="AT210" s="12"/>
      <c r="AU210" s="12" t="s">
        <v>4561</v>
      </c>
      <c r="AV210" s="12"/>
      <c r="AW210" s="12"/>
      <c r="AX210" s="12">
        <v>0</v>
      </c>
      <c r="AY210" s="12">
        <v>50809</v>
      </c>
      <c r="AZ210" s="12">
        <v>0</v>
      </c>
      <c r="BA210" s="12" t="s">
        <v>950</v>
      </c>
      <c r="BB210" s="12"/>
      <c r="BC210" s="12" t="s">
        <v>6672</v>
      </c>
      <c r="BD210" s="12"/>
      <c r="BE210" s="12" t="s">
        <v>2291</v>
      </c>
      <c r="BF210" s="12"/>
      <c r="BG210" s="12"/>
      <c r="BH210" s="12"/>
      <c r="BI210" s="12"/>
      <c r="BJ210" s="12"/>
      <c r="BK210" s="12"/>
      <c r="BL210" s="12" t="s">
        <v>2292</v>
      </c>
      <c r="BM210" s="12" t="s">
        <v>2292</v>
      </c>
      <c r="BN210" s="12" t="s">
        <v>2292</v>
      </c>
      <c r="BO210" s="12" t="s">
        <v>2291</v>
      </c>
      <c r="BP210" s="12"/>
      <c r="BQ210" s="12"/>
      <c r="BR210" s="12"/>
      <c r="BS210" s="12"/>
      <c r="BT210" s="12"/>
      <c r="BU210" s="12"/>
      <c r="BV210" s="12"/>
      <c r="BW210" s="12"/>
      <c r="BX210" s="12"/>
      <c r="BY210" s="13" t="s">
        <v>313</v>
      </c>
      <c r="BZ210" s="13" t="s">
        <v>6168</v>
      </c>
      <c r="CA210" s="13" t="s">
        <v>6170</v>
      </c>
      <c r="CB210" s="13" t="s">
        <v>312</v>
      </c>
      <c r="CC210" s="13"/>
      <c r="CD210" s="13" t="s">
        <v>6198</v>
      </c>
      <c r="CE210" s="13"/>
      <c r="CF210" s="13"/>
    </row>
    <row r="211" spans="1:84" ht="18.600000000000001" customHeight="1" x14ac:dyDescent="0.25">
      <c r="A211" s="60" t="s">
        <v>75</v>
      </c>
      <c r="B211" s="2" t="s">
        <v>3167</v>
      </c>
      <c r="C211" s="3" t="s">
        <v>2441</v>
      </c>
      <c r="D211" s="12" t="s">
        <v>952</v>
      </c>
      <c r="E211" s="12" t="s">
        <v>951</v>
      </c>
      <c r="F211" s="12" t="s">
        <v>4018</v>
      </c>
      <c r="G211" s="25">
        <v>99269</v>
      </c>
      <c r="H211" s="25">
        <v>75085</v>
      </c>
      <c r="I211" s="25">
        <v>11475</v>
      </c>
      <c r="J211" s="25">
        <v>5083</v>
      </c>
      <c r="K211" s="25">
        <v>2057570</v>
      </c>
      <c r="L211" s="25">
        <v>193867</v>
      </c>
      <c r="M211" s="25">
        <v>2251437</v>
      </c>
      <c r="N211" s="31">
        <v>0.91</v>
      </c>
      <c r="O211" s="25">
        <v>0</v>
      </c>
      <c r="P211" s="25">
        <v>960937</v>
      </c>
      <c r="Q211" s="25">
        <v>3359</v>
      </c>
      <c r="R211" s="25">
        <v>879</v>
      </c>
      <c r="S211" s="25">
        <v>1442</v>
      </c>
      <c r="T211" s="25">
        <v>581</v>
      </c>
      <c r="U211" s="61">
        <v>1365</v>
      </c>
      <c r="V211" s="58">
        <v>5.0000000000000001E-4</v>
      </c>
      <c r="W211" s="33">
        <v>2.9999999999999997E-4</v>
      </c>
      <c r="X211" s="33">
        <v>2.0000000000000001E-4</v>
      </c>
      <c r="Y211" s="33">
        <v>1E-4</v>
      </c>
      <c r="Z211" s="33">
        <v>1.9E-3</v>
      </c>
      <c r="AA211" s="12" t="s">
        <v>3926</v>
      </c>
      <c r="AB211" s="25">
        <v>612</v>
      </c>
      <c r="AC211" s="25">
        <v>500</v>
      </c>
      <c r="AD211" s="25">
        <v>7</v>
      </c>
      <c r="AE211" s="25">
        <v>6</v>
      </c>
      <c r="AF211" s="25">
        <v>99</v>
      </c>
      <c r="AG211" s="25">
        <v>0</v>
      </c>
      <c r="AH211" s="25">
        <v>0</v>
      </c>
      <c r="AI211" s="12">
        <v>1.39</v>
      </c>
      <c r="AJ211" s="25">
        <v>307850</v>
      </c>
      <c r="AK211" s="25">
        <v>3366</v>
      </c>
      <c r="AL211" s="33">
        <v>1.11E-2</v>
      </c>
      <c r="AM211" s="3" t="s">
        <v>2441</v>
      </c>
      <c r="AN211" s="12" t="s">
        <v>951</v>
      </c>
      <c r="AO211" s="12" t="s">
        <v>951</v>
      </c>
      <c r="AP211" s="12" t="str">
        <f>"199534880234733"</f>
        <v>199534880234733</v>
      </c>
      <c r="AQ211" s="12" t="s">
        <v>952</v>
      </c>
      <c r="AR211" s="12" t="s">
        <v>953</v>
      </c>
      <c r="AS211" s="12" t="s">
        <v>2442</v>
      </c>
      <c r="AT211" s="12" t="s">
        <v>2443</v>
      </c>
      <c r="AU211" s="12" t="s">
        <v>309</v>
      </c>
      <c r="AV211" s="12"/>
      <c r="AW211" s="12"/>
      <c r="AX211" s="12">
        <v>0</v>
      </c>
      <c r="AY211" s="12">
        <v>112</v>
      </c>
      <c r="AZ211" s="12">
        <v>0</v>
      </c>
      <c r="BA211" s="12" t="s">
        <v>954</v>
      </c>
      <c r="BB211" s="12" t="s">
        <v>6474</v>
      </c>
      <c r="BC211" s="12" t="s">
        <v>6475</v>
      </c>
      <c r="BD211" s="12" t="s">
        <v>955</v>
      </c>
      <c r="BE211" s="12" t="s">
        <v>2291</v>
      </c>
      <c r="BF211" s="12"/>
      <c r="BG211" s="12"/>
      <c r="BH211" s="12"/>
      <c r="BI211" s="12"/>
      <c r="BJ211" s="12"/>
      <c r="BK211" s="12"/>
      <c r="BL211" s="12" t="s">
        <v>2292</v>
      </c>
      <c r="BM211" s="12" t="s">
        <v>2292</v>
      </c>
      <c r="BN211" s="12" t="s">
        <v>2292</v>
      </c>
      <c r="BO211" s="12" t="s">
        <v>2291</v>
      </c>
      <c r="BP211" s="12"/>
      <c r="BQ211" s="12"/>
      <c r="BR211" s="12"/>
      <c r="BS211" s="12"/>
      <c r="BT211" s="12"/>
      <c r="BU211" s="12"/>
      <c r="BV211" s="12"/>
      <c r="BW211" s="12" t="s">
        <v>956</v>
      </c>
      <c r="BX211" s="12"/>
      <c r="BY211" s="13" t="s">
        <v>313</v>
      </c>
      <c r="BZ211" s="13" t="s">
        <v>312</v>
      </c>
      <c r="CA211" s="13" t="s">
        <v>6170</v>
      </c>
      <c r="CB211" s="13" t="s">
        <v>6202</v>
      </c>
      <c r="CC211" s="13" t="s">
        <v>6187</v>
      </c>
      <c r="CD211" s="13" t="s">
        <v>6196</v>
      </c>
      <c r="CE211" s="13"/>
      <c r="CF211" s="13"/>
    </row>
    <row r="212" spans="1:84" ht="18.600000000000001" customHeight="1" x14ac:dyDescent="0.25">
      <c r="A212" s="60" t="s">
        <v>75</v>
      </c>
      <c r="B212" s="2" t="s">
        <v>335</v>
      </c>
      <c r="C212" s="20" t="s">
        <v>3863</v>
      </c>
      <c r="D212" s="12" t="s">
        <v>4206</v>
      </c>
      <c r="E212" s="12" t="s">
        <v>4207</v>
      </c>
      <c r="F212" s="12" t="s">
        <v>4208</v>
      </c>
      <c r="G212" s="25">
        <v>57963</v>
      </c>
      <c r="H212" s="25">
        <v>50071</v>
      </c>
      <c r="I212" s="25">
        <v>4486</v>
      </c>
      <c r="J212" s="25">
        <v>2118</v>
      </c>
      <c r="K212" s="25">
        <v>11028</v>
      </c>
      <c r="L212" s="25">
        <v>1607</v>
      </c>
      <c r="M212" s="25">
        <v>12635</v>
      </c>
      <c r="N212" s="31">
        <v>0.87</v>
      </c>
      <c r="O212" s="25">
        <v>36201</v>
      </c>
      <c r="P212" s="25">
        <v>344</v>
      </c>
      <c r="Q212" s="25">
        <v>809</v>
      </c>
      <c r="R212" s="25">
        <v>59</v>
      </c>
      <c r="S212" s="25">
        <v>257</v>
      </c>
      <c r="T212" s="25">
        <v>101</v>
      </c>
      <c r="U212" s="61">
        <v>59</v>
      </c>
      <c r="V212" s="58">
        <v>5.9999999999999995E-4</v>
      </c>
      <c r="W212" s="33">
        <v>6.9999999999999999E-4</v>
      </c>
      <c r="X212" s="33">
        <v>2.9999999999999997E-4</v>
      </c>
      <c r="Y212" s="33">
        <v>2.0000000000000001E-4</v>
      </c>
      <c r="Z212" s="33">
        <v>1.1999999999999999E-3</v>
      </c>
      <c r="AA212" s="33">
        <v>2.9999999999999997E-4</v>
      </c>
      <c r="AB212" s="25">
        <v>944</v>
      </c>
      <c r="AC212" s="25">
        <v>886</v>
      </c>
      <c r="AD212" s="25">
        <v>19</v>
      </c>
      <c r="AE212" s="25">
        <v>4</v>
      </c>
      <c r="AF212" s="25">
        <v>6</v>
      </c>
      <c r="AG212" s="25">
        <v>26</v>
      </c>
      <c r="AH212" s="25">
        <v>3</v>
      </c>
      <c r="AI212" s="12">
        <v>2.15</v>
      </c>
      <c r="AJ212" s="25">
        <v>116215</v>
      </c>
      <c r="AK212" s="25">
        <v>47001</v>
      </c>
      <c r="AL212" s="33">
        <v>0.67910000000000004</v>
      </c>
      <c r="AM212" s="20" t="s">
        <v>3863</v>
      </c>
      <c r="AN212" s="12" t="s">
        <v>4207</v>
      </c>
      <c r="AO212" s="12" t="s">
        <v>4207</v>
      </c>
      <c r="AP212" s="12" t="str">
        <f>"1650260485206001"</f>
        <v>1650260485206001</v>
      </c>
      <c r="AQ212" s="12" t="s">
        <v>4206</v>
      </c>
      <c r="AR212" s="12" t="s">
        <v>4697</v>
      </c>
      <c r="AS212" s="12" t="s">
        <v>4604</v>
      </c>
      <c r="AT212" s="12"/>
      <c r="AU212" s="12" t="s">
        <v>324</v>
      </c>
      <c r="AV212" s="12"/>
      <c r="AW212" s="12"/>
      <c r="AX212" s="12">
        <v>0</v>
      </c>
      <c r="AY212" s="12">
        <v>1554</v>
      </c>
      <c r="AZ212" s="12">
        <v>0</v>
      </c>
      <c r="BA212" s="12" t="s">
        <v>4605</v>
      </c>
      <c r="BB212" s="12"/>
      <c r="BC212" s="12" t="s">
        <v>6926</v>
      </c>
      <c r="BD212" s="12"/>
      <c r="BE212" s="12" t="s">
        <v>2291</v>
      </c>
      <c r="BF212" s="12"/>
      <c r="BG212" s="12"/>
      <c r="BH212" s="12"/>
      <c r="BI212" s="12"/>
      <c r="BJ212" s="12"/>
      <c r="BK212" s="12"/>
      <c r="BL212" s="12" t="s">
        <v>2292</v>
      </c>
      <c r="BM212" s="12" t="s">
        <v>2292</v>
      </c>
      <c r="BN212" s="12" t="s">
        <v>2292</v>
      </c>
      <c r="BO212" s="12" t="s">
        <v>2291</v>
      </c>
      <c r="BP212" s="12"/>
      <c r="BQ212" s="12"/>
      <c r="BR212" s="12"/>
      <c r="BS212" s="12"/>
      <c r="BT212" s="12"/>
      <c r="BU212" s="12"/>
      <c r="BV212" s="12"/>
      <c r="BW212" s="12"/>
      <c r="BX212" s="12"/>
      <c r="BY212" s="13" t="s">
        <v>313</v>
      </c>
      <c r="BZ212" s="13" t="s">
        <v>6170</v>
      </c>
      <c r="CA212" s="13" t="s">
        <v>6170</v>
      </c>
      <c r="CB212" s="13" t="s">
        <v>6200</v>
      </c>
      <c r="CC212" s="13"/>
      <c r="CD212" s="13" t="s">
        <v>6198</v>
      </c>
      <c r="CE212" s="13"/>
      <c r="CF212" s="13"/>
    </row>
    <row r="213" spans="1:84" ht="18.600000000000001" customHeight="1" x14ac:dyDescent="0.25">
      <c r="A213" s="60" t="s">
        <v>76</v>
      </c>
      <c r="B213" s="2" t="s">
        <v>963</v>
      </c>
      <c r="C213" s="3" t="s">
        <v>2950</v>
      </c>
      <c r="D213" s="12" t="s">
        <v>958</v>
      </c>
      <c r="E213" s="12" t="s">
        <v>957</v>
      </c>
      <c r="F213" s="12" t="s">
        <v>4338</v>
      </c>
      <c r="G213" s="25">
        <v>963971</v>
      </c>
      <c r="H213" s="25">
        <v>717183</v>
      </c>
      <c r="I213" s="25">
        <v>63606</v>
      </c>
      <c r="J213" s="25">
        <v>74502</v>
      </c>
      <c r="K213" s="25">
        <v>4343215</v>
      </c>
      <c r="L213" s="25">
        <v>2729933</v>
      </c>
      <c r="M213" s="25">
        <v>7073148</v>
      </c>
      <c r="N213" s="31">
        <v>0.61</v>
      </c>
      <c r="O213" s="25">
        <v>45976</v>
      </c>
      <c r="P213" s="25">
        <v>491720</v>
      </c>
      <c r="Q213" s="25">
        <v>68061</v>
      </c>
      <c r="R213" s="25">
        <v>4486</v>
      </c>
      <c r="S213" s="25">
        <v>3502</v>
      </c>
      <c r="T213" s="25">
        <v>29503</v>
      </c>
      <c r="U213" s="61">
        <v>3121</v>
      </c>
      <c r="V213" s="58">
        <v>7.1999999999999998E-3</v>
      </c>
      <c r="W213" s="33">
        <v>7.4999999999999997E-3</v>
      </c>
      <c r="X213" s="33">
        <v>5.3E-3</v>
      </c>
      <c r="Y213" s="33">
        <v>7.0000000000000001E-3</v>
      </c>
      <c r="Z213" s="33">
        <v>7.1999999999999998E-3</v>
      </c>
      <c r="AA213" s="33">
        <v>1.2699999999999999E-2</v>
      </c>
      <c r="AB213" s="25">
        <v>568</v>
      </c>
      <c r="AC213" s="25">
        <v>321</v>
      </c>
      <c r="AD213" s="25">
        <v>9</v>
      </c>
      <c r="AE213" s="25">
        <v>35</v>
      </c>
      <c r="AF213" s="25">
        <v>194</v>
      </c>
      <c r="AG213" s="25">
        <v>7</v>
      </c>
      <c r="AH213" s="25">
        <v>2</v>
      </c>
      <c r="AI213" s="12">
        <v>1.29</v>
      </c>
      <c r="AJ213" s="25">
        <v>247692</v>
      </c>
      <c r="AK213" s="25">
        <v>34375</v>
      </c>
      <c r="AL213" s="33">
        <v>0.16109999999999999</v>
      </c>
      <c r="AM213" s="3" t="s">
        <v>2950</v>
      </c>
      <c r="AN213" s="12" t="s">
        <v>957</v>
      </c>
      <c r="AO213" s="12" t="s">
        <v>957</v>
      </c>
      <c r="AP213" s="12" t="str">
        <f>"128211737213526"</f>
        <v>128211737213526</v>
      </c>
      <c r="AQ213" s="12" t="s">
        <v>958</v>
      </c>
      <c r="AR213" s="12" t="s">
        <v>959</v>
      </c>
      <c r="AS213" s="12" t="s">
        <v>2951</v>
      </c>
      <c r="AT213" s="12"/>
      <c r="AU213" s="12" t="s">
        <v>319</v>
      </c>
      <c r="AV213" s="12"/>
      <c r="AW213" s="12"/>
      <c r="AX213" s="12">
        <v>0</v>
      </c>
      <c r="AY213" s="12">
        <v>11046</v>
      </c>
      <c r="AZ213" s="12">
        <v>0</v>
      </c>
      <c r="BA213" s="12" t="s">
        <v>960</v>
      </c>
      <c r="BB213" s="12" t="s">
        <v>5999</v>
      </c>
      <c r="BC213" s="12" t="s">
        <v>7193</v>
      </c>
      <c r="BD213" s="12"/>
      <c r="BE213" s="12" t="s">
        <v>2291</v>
      </c>
      <c r="BF213" s="12"/>
      <c r="BG213" s="12"/>
      <c r="BH213" s="12"/>
      <c r="BI213" s="12"/>
      <c r="BJ213" s="12"/>
      <c r="BK213" s="12"/>
      <c r="BL213" s="12" t="s">
        <v>2292</v>
      </c>
      <c r="BM213" s="12" t="s">
        <v>2292</v>
      </c>
      <c r="BN213" s="12" t="s">
        <v>2292</v>
      </c>
      <c r="BO213" s="12" t="s">
        <v>2291</v>
      </c>
      <c r="BP213" s="12"/>
      <c r="BQ213" s="12"/>
      <c r="BR213" s="12"/>
      <c r="BS213" s="12"/>
      <c r="BT213" s="12" t="s">
        <v>961</v>
      </c>
      <c r="BU213" s="12"/>
      <c r="BV213" s="12"/>
      <c r="BW213" s="12" t="s">
        <v>962</v>
      </c>
      <c r="BX213" s="12"/>
      <c r="BY213" s="13" t="s">
        <v>313</v>
      </c>
      <c r="BZ213" s="13" t="s">
        <v>6174</v>
      </c>
      <c r="CA213" s="13"/>
      <c r="CB213" s="13"/>
      <c r="CC213" s="13"/>
      <c r="CD213" s="13"/>
      <c r="CE213" s="13"/>
      <c r="CF213" s="13"/>
    </row>
    <row r="214" spans="1:84" ht="18.600000000000001" customHeight="1" x14ac:dyDescent="0.25">
      <c r="A214" s="60" t="s">
        <v>76</v>
      </c>
      <c r="B214" s="2" t="s">
        <v>969</v>
      </c>
      <c r="C214" s="3" t="s">
        <v>2813</v>
      </c>
      <c r="D214" s="12" t="s">
        <v>965</v>
      </c>
      <c r="E214" s="12" t="s">
        <v>964</v>
      </c>
      <c r="F214" s="12" t="s">
        <v>4240</v>
      </c>
      <c r="G214" s="25">
        <v>12659211</v>
      </c>
      <c r="H214" s="25">
        <v>9363083</v>
      </c>
      <c r="I214" s="25">
        <v>848801</v>
      </c>
      <c r="J214" s="25">
        <v>1234802</v>
      </c>
      <c r="K214" s="25">
        <v>58630374</v>
      </c>
      <c r="L214" s="25">
        <v>24913757</v>
      </c>
      <c r="M214" s="25">
        <v>83544131</v>
      </c>
      <c r="N214" s="31">
        <v>0.7</v>
      </c>
      <c r="O214" s="25">
        <v>1704569</v>
      </c>
      <c r="P214" s="25">
        <v>3446115</v>
      </c>
      <c r="Q214" s="25">
        <v>902952</v>
      </c>
      <c r="R214" s="25">
        <v>61763</v>
      </c>
      <c r="S214" s="25">
        <v>51632</v>
      </c>
      <c r="T214" s="25">
        <v>147834</v>
      </c>
      <c r="U214" s="61">
        <v>48197</v>
      </c>
      <c r="V214" s="58">
        <v>4.3E-3</v>
      </c>
      <c r="W214" s="33">
        <v>4.0000000000000001E-3</v>
      </c>
      <c r="X214" s="33">
        <v>2.2000000000000001E-3</v>
      </c>
      <c r="Y214" s="33">
        <v>3.5999999999999999E-3</v>
      </c>
      <c r="Z214" s="33">
        <v>5.0000000000000001E-3</v>
      </c>
      <c r="AA214" s="33">
        <v>5.9999999999999995E-4</v>
      </c>
      <c r="AB214" s="25">
        <v>1384</v>
      </c>
      <c r="AC214" s="25">
        <v>541</v>
      </c>
      <c r="AD214" s="25">
        <v>37</v>
      </c>
      <c r="AE214" s="25">
        <v>133</v>
      </c>
      <c r="AF214" s="25">
        <v>639</v>
      </c>
      <c r="AG214" s="25">
        <v>32</v>
      </c>
      <c r="AH214" s="25">
        <v>2</v>
      </c>
      <c r="AI214" s="12">
        <v>3.15</v>
      </c>
      <c r="AJ214" s="25">
        <v>2280850</v>
      </c>
      <c r="AK214" s="25">
        <v>330310</v>
      </c>
      <c r="AL214" s="33">
        <v>0.16930000000000001</v>
      </c>
      <c r="AM214" s="3" t="s">
        <v>2813</v>
      </c>
      <c r="AN214" s="12" t="s">
        <v>964</v>
      </c>
      <c r="AO214" s="12" t="s">
        <v>964</v>
      </c>
      <c r="AP214" s="12" t="str">
        <f>"268108602075"</f>
        <v>268108602075</v>
      </c>
      <c r="AQ214" s="12" t="s">
        <v>965</v>
      </c>
      <c r="AR214" s="12" t="s">
        <v>966</v>
      </c>
      <c r="AS214" s="12" t="s">
        <v>967</v>
      </c>
      <c r="AT214" s="12"/>
      <c r="AU214" s="12" t="s">
        <v>309</v>
      </c>
      <c r="AV214" s="12"/>
      <c r="AW214" s="12"/>
      <c r="AX214" s="12">
        <v>0</v>
      </c>
      <c r="AY214" s="12">
        <v>104857</v>
      </c>
      <c r="AZ214" s="12">
        <v>0</v>
      </c>
      <c r="BA214" s="12" t="s">
        <v>968</v>
      </c>
      <c r="BB214" s="12"/>
      <c r="BC214" s="12" t="s">
        <v>6978</v>
      </c>
      <c r="BD214" s="12"/>
      <c r="BE214" s="12" t="s">
        <v>2291</v>
      </c>
      <c r="BF214" s="12"/>
      <c r="BG214" s="12"/>
      <c r="BH214" s="12"/>
      <c r="BI214" s="12"/>
      <c r="BJ214" s="12"/>
      <c r="BK214" s="12"/>
      <c r="BL214" s="12" t="s">
        <v>2292</v>
      </c>
      <c r="BM214" s="12" t="s">
        <v>2292</v>
      </c>
      <c r="BN214" s="12" t="s">
        <v>2292</v>
      </c>
      <c r="BO214" s="12" t="s">
        <v>2291</v>
      </c>
      <c r="BP214" s="12"/>
      <c r="BQ214" s="12"/>
      <c r="BR214" s="12"/>
      <c r="BS214" s="12"/>
      <c r="BT214" s="12"/>
      <c r="BU214" s="12"/>
      <c r="BV214" s="12"/>
      <c r="BW214" s="12"/>
      <c r="BX214" s="12"/>
      <c r="BY214" s="13" t="s">
        <v>313</v>
      </c>
      <c r="BZ214" s="13" t="s">
        <v>6191</v>
      </c>
      <c r="CA214" s="13" t="s">
        <v>6170</v>
      </c>
      <c r="CB214" s="13" t="s">
        <v>312</v>
      </c>
      <c r="CC214" s="13"/>
      <c r="CD214" s="13" t="s">
        <v>6198</v>
      </c>
      <c r="CE214" s="13"/>
      <c r="CF214" s="13"/>
    </row>
    <row r="215" spans="1:84" ht="18.600000000000001" customHeight="1" x14ac:dyDescent="0.25">
      <c r="A215" s="60" t="s">
        <v>76</v>
      </c>
      <c r="B215" s="2" t="s">
        <v>315</v>
      </c>
      <c r="C215" s="3" t="s">
        <v>2597</v>
      </c>
      <c r="D215" s="12" t="s">
        <v>970</v>
      </c>
      <c r="E215" s="12" t="s">
        <v>77</v>
      </c>
      <c r="F215" s="12" t="s">
        <v>4110</v>
      </c>
      <c r="G215" s="25">
        <v>3980188</v>
      </c>
      <c r="H215" s="25">
        <v>2509122</v>
      </c>
      <c r="I215" s="25">
        <v>199289</v>
      </c>
      <c r="J215" s="25">
        <v>872129</v>
      </c>
      <c r="K215" s="25">
        <v>19503850</v>
      </c>
      <c r="L215" s="25">
        <v>22214204</v>
      </c>
      <c r="M215" s="25">
        <v>41718054</v>
      </c>
      <c r="N215" s="31">
        <v>0.47</v>
      </c>
      <c r="O215" s="25">
        <v>290547</v>
      </c>
      <c r="P215" s="25">
        <v>505148</v>
      </c>
      <c r="Q215" s="25">
        <v>333626</v>
      </c>
      <c r="R215" s="25">
        <v>20537</v>
      </c>
      <c r="S215" s="25">
        <v>10434</v>
      </c>
      <c r="T215" s="25">
        <v>19933</v>
      </c>
      <c r="U215" s="61">
        <v>14962</v>
      </c>
      <c r="V215" s="58">
        <v>3.8E-3</v>
      </c>
      <c r="W215" s="33">
        <v>2.5999999999999999E-3</v>
      </c>
      <c r="X215" s="33">
        <v>2E-3</v>
      </c>
      <c r="Y215" s="33">
        <v>1.1999999999999999E-3</v>
      </c>
      <c r="Z215" s="33">
        <v>7.1999999999999998E-3</v>
      </c>
      <c r="AA215" s="33">
        <v>4.0000000000000002E-4</v>
      </c>
      <c r="AB215" s="25">
        <v>987</v>
      </c>
      <c r="AC215" s="25">
        <v>395</v>
      </c>
      <c r="AD215" s="25">
        <v>13</v>
      </c>
      <c r="AE215" s="25">
        <v>128</v>
      </c>
      <c r="AF215" s="25">
        <v>428</v>
      </c>
      <c r="AG215" s="25">
        <v>14</v>
      </c>
      <c r="AH215" s="25">
        <v>9</v>
      </c>
      <c r="AI215" s="12">
        <v>2.25</v>
      </c>
      <c r="AJ215" s="25">
        <v>1171339</v>
      </c>
      <c r="AK215" s="25">
        <v>248419</v>
      </c>
      <c r="AL215" s="33">
        <v>0.26919999999999999</v>
      </c>
      <c r="AM215" s="3" t="s">
        <v>2597</v>
      </c>
      <c r="AN215" s="12" t="s">
        <v>77</v>
      </c>
      <c r="AO215" s="12" t="s">
        <v>77</v>
      </c>
      <c r="AP215" s="12" t="str">
        <f>"124149704266450"</f>
        <v>124149704266450</v>
      </c>
      <c r="AQ215" s="12" t="s">
        <v>970</v>
      </c>
      <c r="AR215" s="12" t="s">
        <v>971</v>
      </c>
      <c r="AS215" s="12" t="s">
        <v>972</v>
      </c>
      <c r="AT215" s="12"/>
      <c r="AU215" s="12" t="s">
        <v>324</v>
      </c>
      <c r="AV215" s="12" t="s">
        <v>5731</v>
      </c>
      <c r="AW215" s="12">
        <v>1948</v>
      </c>
      <c r="AX215" s="12">
        <v>6098</v>
      </c>
      <c r="AY215" s="12">
        <v>13429</v>
      </c>
      <c r="AZ215" s="12">
        <v>0</v>
      </c>
      <c r="BA215" s="12" t="s">
        <v>973</v>
      </c>
      <c r="BB215" s="12" t="s">
        <v>6674</v>
      </c>
      <c r="BC215" s="12" t="s">
        <v>6675</v>
      </c>
      <c r="BD215" s="12"/>
      <c r="BE215" s="12" t="s">
        <v>2291</v>
      </c>
      <c r="BF215" s="12"/>
      <c r="BG215" s="12"/>
      <c r="BH215" s="12"/>
      <c r="BI215" s="12" t="s">
        <v>974</v>
      </c>
      <c r="BJ215" s="12"/>
      <c r="BK215" s="12"/>
      <c r="BL215" s="12" t="s">
        <v>2292</v>
      </c>
      <c r="BM215" s="12" t="s">
        <v>2292</v>
      </c>
      <c r="BN215" s="12" t="s">
        <v>2292</v>
      </c>
      <c r="BO215" s="12" t="s">
        <v>2291</v>
      </c>
      <c r="BP215" s="12"/>
      <c r="BQ215" s="12"/>
      <c r="BR215" s="12"/>
      <c r="BS215" s="12"/>
      <c r="BT215" s="12"/>
      <c r="BU215" s="12" t="s">
        <v>326</v>
      </c>
      <c r="BV215" s="12"/>
      <c r="BW215" s="12" t="s">
        <v>975</v>
      </c>
      <c r="BX215" s="12"/>
      <c r="BY215" s="13" t="s">
        <v>313</v>
      </c>
      <c r="BZ215" s="13" t="s">
        <v>6172</v>
      </c>
      <c r="CA215" s="13" t="s">
        <v>6170</v>
      </c>
      <c r="CB215" s="13" t="s">
        <v>312</v>
      </c>
      <c r="CC215" s="13"/>
      <c r="CD215" s="13" t="s">
        <v>6198</v>
      </c>
      <c r="CE215" s="13"/>
      <c r="CF215" s="13"/>
    </row>
    <row r="216" spans="1:84" ht="18.600000000000001" customHeight="1" x14ac:dyDescent="0.25">
      <c r="A216" s="60" t="s">
        <v>76</v>
      </c>
      <c r="B216" s="2" t="s">
        <v>315</v>
      </c>
      <c r="C216" s="3" t="s">
        <v>2570</v>
      </c>
      <c r="D216" s="12" t="s">
        <v>980</v>
      </c>
      <c r="E216" s="12" t="s">
        <v>981</v>
      </c>
      <c r="F216" s="12" t="s">
        <v>4099</v>
      </c>
      <c r="G216" s="25">
        <v>1084820</v>
      </c>
      <c r="H216" s="25">
        <v>800840</v>
      </c>
      <c r="I216" s="25">
        <v>75066</v>
      </c>
      <c r="J216" s="25">
        <v>124690</v>
      </c>
      <c r="K216" s="25">
        <v>4057837</v>
      </c>
      <c r="L216" s="25">
        <v>3364858</v>
      </c>
      <c r="M216" s="25">
        <v>7422695</v>
      </c>
      <c r="N216" s="31">
        <v>0.55000000000000004</v>
      </c>
      <c r="O216" s="25">
        <v>47199</v>
      </c>
      <c r="P216" s="25">
        <v>531157</v>
      </c>
      <c r="Q216" s="25">
        <v>71343</v>
      </c>
      <c r="R216" s="25">
        <v>4362</v>
      </c>
      <c r="S216" s="25">
        <v>2442</v>
      </c>
      <c r="T216" s="25">
        <v>4501</v>
      </c>
      <c r="U216" s="61">
        <v>1573</v>
      </c>
      <c r="V216" s="58">
        <v>4.7000000000000002E-3</v>
      </c>
      <c r="W216" s="33">
        <v>3.7000000000000002E-3</v>
      </c>
      <c r="X216" s="33">
        <v>2.3999999999999998E-3</v>
      </c>
      <c r="Y216" s="33">
        <v>1.4E-3</v>
      </c>
      <c r="Z216" s="33">
        <v>8.0999999999999996E-3</v>
      </c>
      <c r="AA216" s="33">
        <v>1.2999999999999999E-3</v>
      </c>
      <c r="AB216" s="25">
        <v>1626</v>
      </c>
      <c r="AC216" s="25">
        <v>679</v>
      </c>
      <c r="AD216" s="25">
        <v>12</v>
      </c>
      <c r="AE216" s="25">
        <v>234</v>
      </c>
      <c r="AF216" s="25">
        <v>675</v>
      </c>
      <c r="AG216" s="25">
        <v>17</v>
      </c>
      <c r="AH216" s="25">
        <v>9</v>
      </c>
      <c r="AI216" s="12">
        <v>3.7</v>
      </c>
      <c r="AJ216" s="25">
        <v>151548</v>
      </c>
      <c r="AK216" s="25">
        <v>18034</v>
      </c>
      <c r="AL216" s="33">
        <v>0.1351</v>
      </c>
      <c r="AM216" s="3" t="s">
        <v>2570</v>
      </c>
      <c r="AN216" s="12" t="s">
        <v>981</v>
      </c>
      <c r="AO216" s="12" t="s">
        <v>981</v>
      </c>
      <c r="AP216" s="12" t="str">
        <f>"215332295195253"</f>
        <v>215332295195253</v>
      </c>
      <c r="AQ216" s="12" t="s">
        <v>980</v>
      </c>
      <c r="AR216" s="12" t="s">
        <v>2571</v>
      </c>
      <c r="AS216" s="12" t="s">
        <v>982</v>
      </c>
      <c r="AT216" s="12"/>
      <c r="AU216" s="12" t="s">
        <v>324</v>
      </c>
      <c r="AV216" s="12"/>
      <c r="AW216" s="12"/>
      <c r="AX216" s="12">
        <v>0</v>
      </c>
      <c r="AY216" s="12">
        <v>6045</v>
      </c>
      <c r="AZ216" s="12">
        <v>0</v>
      </c>
      <c r="BA216" s="12" t="s">
        <v>983</v>
      </c>
      <c r="BB216" s="12"/>
      <c r="BC216" s="12" t="s">
        <v>6642</v>
      </c>
      <c r="BD216" s="12"/>
      <c r="BE216" s="12" t="s">
        <v>2291</v>
      </c>
      <c r="BF216" s="12"/>
      <c r="BG216" s="12"/>
      <c r="BH216" s="12"/>
      <c r="BI216" s="12"/>
      <c r="BJ216" s="12" t="s">
        <v>2572</v>
      </c>
      <c r="BK216" s="12"/>
      <c r="BL216" s="12" t="s">
        <v>2292</v>
      </c>
      <c r="BM216" s="12" t="s">
        <v>2292</v>
      </c>
      <c r="BN216" s="12" t="s">
        <v>2292</v>
      </c>
      <c r="BO216" s="12" t="s">
        <v>2291</v>
      </c>
      <c r="BP216" s="12"/>
      <c r="BQ216" s="12"/>
      <c r="BR216" s="12"/>
      <c r="BS216" s="12"/>
      <c r="BT216" s="12"/>
      <c r="BU216" s="12"/>
      <c r="BV216" s="12"/>
      <c r="BW216" s="12"/>
      <c r="BX216" s="12"/>
      <c r="BY216" s="13" t="s">
        <v>313</v>
      </c>
      <c r="BZ216" s="13" t="s">
        <v>6172</v>
      </c>
      <c r="CA216" s="13" t="s">
        <v>6170</v>
      </c>
      <c r="CB216" s="13" t="s">
        <v>6201</v>
      </c>
      <c r="CC216" s="13" t="s">
        <v>6187</v>
      </c>
      <c r="CD216" s="13" t="s">
        <v>6195</v>
      </c>
      <c r="CE216" s="13"/>
      <c r="CF216" s="13"/>
    </row>
    <row r="217" spans="1:84" ht="18.600000000000001" customHeight="1" x14ac:dyDescent="0.25">
      <c r="A217" s="60" t="s">
        <v>76</v>
      </c>
      <c r="B217" s="2" t="s">
        <v>315</v>
      </c>
      <c r="C217" s="3" t="s">
        <v>2598</v>
      </c>
      <c r="D217" s="12" t="s">
        <v>985</v>
      </c>
      <c r="E217" s="12" t="s">
        <v>984</v>
      </c>
      <c r="F217" s="12" t="s">
        <v>4111</v>
      </c>
      <c r="G217" s="25">
        <v>118536</v>
      </c>
      <c r="H217" s="25">
        <v>79632</v>
      </c>
      <c r="I217" s="25">
        <v>19940</v>
      </c>
      <c r="J217" s="25">
        <v>8287</v>
      </c>
      <c r="K217" s="25">
        <v>1559210</v>
      </c>
      <c r="L217" s="25">
        <v>180997</v>
      </c>
      <c r="M217" s="25">
        <v>1740207</v>
      </c>
      <c r="N217" s="31">
        <v>0.9</v>
      </c>
      <c r="O217" s="25">
        <v>6068</v>
      </c>
      <c r="P217" s="25">
        <v>20989</v>
      </c>
      <c r="Q217" s="25">
        <v>4727</v>
      </c>
      <c r="R217" s="25">
        <v>367</v>
      </c>
      <c r="S217" s="25">
        <v>2938</v>
      </c>
      <c r="T217" s="25">
        <v>515</v>
      </c>
      <c r="U217" s="61">
        <v>2130</v>
      </c>
      <c r="V217" s="58">
        <v>4.0000000000000002E-4</v>
      </c>
      <c r="W217" s="33">
        <v>4.0000000000000002E-4</v>
      </c>
      <c r="X217" s="33">
        <v>1E-4</v>
      </c>
      <c r="Y217" s="33">
        <v>2.0000000000000001E-4</v>
      </c>
      <c r="Z217" s="33">
        <v>8.0000000000000004E-4</v>
      </c>
      <c r="AA217" s="33">
        <v>2.0000000000000001E-4</v>
      </c>
      <c r="AB217" s="25">
        <v>910</v>
      </c>
      <c r="AC217" s="25">
        <v>434</v>
      </c>
      <c r="AD217" s="25">
        <v>5</v>
      </c>
      <c r="AE217" s="25">
        <v>244</v>
      </c>
      <c r="AF217" s="25">
        <v>140</v>
      </c>
      <c r="AG217" s="25">
        <v>4</v>
      </c>
      <c r="AH217" s="25">
        <v>83</v>
      </c>
      <c r="AI217" s="12">
        <v>2.0699999999999998</v>
      </c>
      <c r="AJ217" s="25">
        <v>320130</v>
      </c>
      <c r="AK217" s="25">
        <v>10644</v>
      </c>
      <c r="AL217" s="33">
        <v>3.44E-2</v>
      </c>
      <c r="AM217" s="3" t="s">
        <v>2598</v>
      </c>
      <c r="AN217" s="12" t="s">
        <v>984</v>
      </c>
      <c r="AO217" s="12" t="s">
        <v>984</v>
      </c>
      <c r="AP217" s="12" t="str">
        <f>"228149393899601"</f>
        <v>228149393899601</v>
      </c>
      <c r="AQ217" s="12" t="s">
        <v>985</v>
      </c>
      <c r="AR217" s="12" t="s">
        <v>986</v>
      </c>
      <c r="AS217" s="12" t="s">
        <v>987</v>
      </c>
      <c r="AT217" s="12"/>
      <c r="AU217" s="12" t="s">
        <v>324</v>
      </c>
      <c r="AV217" s="12" t="s">
        <v>5731</v>
      </c>
      <c r="AW217" s="12">
        <v>1948</v>
      </c>
      <c r="AX217" s="12">
        <v>148</v>
      </c>
      <c r="AY217" s="12">
        <v>404</v>
      </c>
      <c r="AZ217" s="12">
        <v>148</v>
      </c>
      <c r="BA217" s="12" t="s">
        <v>988</v>
      </c>
      <c r="BB217" s="12" t="s">
        <v>6676</v>
      </c>
      <c r="BC217" s="12" t="s">
        <v>6677</v>
      </c>
      <c r="BD217" s="12"/>
      <c r="BE217" s="12" t="s">
        <v>2291</v>
      </c>
      <c r="BF217" s="12"/>
      <c r="BG217" s="12"/>
      <c r="BH217" s="12"/>
      <c r="BI217" s="12"/>
      <c r="BJ217" s="12"/>
      <c r="BK217" s="12"/>
      <c r="BL217" s="12" t="s">
        <v>2292</v>
      </c>
      <c r="BM217" s="12" t="s">
        <v>2292</v>
      </c>
      <c r="BN217" s="12" t="s">
        <v>2292</v>
      </c>
      <c r="BO217" s="12" t="s">
        <v>2291</v>
      </c>
      <c r="BP217" s="12"/>
      <c r="BQ217" s="12"/>
      <c r="BR217" s="12"/>
      <c r="BS217" s="12"/>
      <c r="BT217" s="12"/>
      <c r="BU217" s="12" t="s">
        <v>326</v>
      </c>
      <c r="BV217" s="12"/>
      <c r="BW217" s="12" t="s">
        <v>989</v>
      </c>
      <c r="BX217" s="12"/>
      <c r="BY217" s="13" t="s">
        <v>313</v>
      </c>
      <c r="BZ217" s="13" t="s">
        <v>6170</v>
      </c>
      <c r="CA217" s="13" t="s">
        <v>6170</v>
      </c>
      <c r="CB217" s="13" t="s">
        <v>312</v>
      </c>
      <c r="CC217" s="13"/>
      <c r="CD217" s="13" t="s">
        <v>6198</v>
      </c>
      <c r="CE217" s="13"/>
      <c r="CF217" s="13"/>
    </row>
    <row r="218" spans="1:84" ht="18.600000000000001" customHeight="1" x14ac:dyDescent="0.25">
      <c r="A218" s="60" t="s">
        <v>76</v>
      </c>
      <c r="B218" s="2" t="s">
        <v>335</v>
      </c>
      <c r="C218" s="3" t="s">
        <v>2599</v>
      </c>
      <c r="D218" s="12" t="s">
        <v>976</v>
      </c>
      <c r="E218" s="12" t="s">
        <v>78</v>
      </c>
      <c r="F218" s="12" t="s">
        <v>4112</v>
      </c>
      <c r="G218" s="25">
        <v>1178550</v>
      </c>
      <c r="H218" s="25">
        <v>799333</v>
      </c>
      <c r="I218" s="25">
        <v>56815</v>
      </c>
      <c r="J218" s="25">
        <v>214526</v>
      </c>
      <c r="K218" s="25">
        <v>15216230</v>
      </c>
      <c r="L218" s="25">
        <v>4288004</v>
      </c>
      <c r="M218" s="25">
        <v>19504234</v>
      </c>
      <c r="N218" s="31">
        <v>0.78</v>
      </c>
      <c r="O218" s="25">
        <v>524009</v>
      </c>
      <c r="P218" s="25">
        <v>246131</v>
      </c>
      <c r="Q218" s="25">
        <v>71701</v>
      </c>
      <c r="R218" s="25">
        <v>9434</v>
      </c>
      <c r="S218" s="25">
        <v>4079</v>
      </c>
      <c r="T218" s="25">
        <v>12434</v>
      </c>
      <c r="U218" s="61">
        <v>10034</v>
      </c>
      <c r="V218" s="58">
        <v>2.5999999999999999E-3</v>
      </c>
      <c r="W218" s="33">
        <v>2.2000000000000001E-3</v>
      </c>
      <c r="X218" s="33">
        <v>1.2999999999999999E-3</v>
      </c>
      <c r="Y218" s="33">
        <v>5.0000000000000001E-4</v>
      </c>
      <c r="Z218" s="33">
        <v>3.3999999999999998E-3</v>
      </c>
      <c r="AA218" s="33">
        <v>2.9999999999999997E-4</v>
      </c>
      <c r="AB218" s="25">
        <v>939</v>
      </c>
      <c r="AC218" s="25">
        <v>372</v>
      </c>
      <c r="AD218" s="25">
        <v>177</v>
      </c>
      <c r="AE218" s="25">
        <v>16</v>
      </c>
      <c r="AF218" s="25">
        <v>301</v>
      </c>
      <c r="AG218" s="25">
        <v>72</v>
      </c>
      <c r="AH218" s="25">
        <v>1</v>
      </c>
      <c r="AI218" s="12">
        <v>2.14</v>
      </c>
      <c r="AJ218" s="25">
        <v>522544</v>
      </c>
      <c r="AK218" s="25">
        <v>97327</v>
      </c>
      <c r="AL218" s="33">
        <v>0.22889999999999999</v>
      </c>
      <c r="AM218" s="3" t="s">
        <v>2599</v>
      </c>
      <c r="AN218" s="12" t="s">
        <v>78</v>
      </c>
      <c r="AO218" s="12" t="s">
        <v>78</v>
      </c>
      <c r="AP218" s="12" t="str">
        <f>"101995411316"</f>
        <v>101995411316</v>
      </c>
      <c r="AQ218" s="12" t="s">
        <v>976</v>
      </c>
      <c r="AR218" s="12" t="s">
        <v>2600</v>
      </c>
      <c r="AS218" s="12" t="s">
        <v>977</v>
      </c>
      <c r="AT218" s="12"/>
      <c r="AU218" s="12" t="s">
        <v>324</v>
      </c>
      <c r="AV218" s="12" t="s">
        <v>5731</v>
      </c>
      <c r="AW218" s="12"/>
      <c r="AX218" s="12">
        <v>16941</v>
      </c>
      <c r="AY218" s="12">
        <v>9436</v>
      </c>
      <c r="AZ218" s="12">
        <v>0</v>
      </c>
      <c r="BA218" s="12" t="s">
        <v>978</v>
      </c>
      <c r="BB218" s="12" t="s">
        <v>6678</v>
      </c>
      <c r="BC218" s="12" t="s">
        <v>6679</v>
      </c>
      <c r="BD218" s="12"/>
      <c r="BE218" s="12" t="s">
        <v>2291</v>
      </c>
      <c r="BF218" s="12"/>
      <c r="BG218" s="12"/>
      <c r="BH218" s="12"/>
      <c r="BI218" s="12"/>
      <c r="BJ218" s="12"/>
      <c r="BK218" s="12"/>
      <c r="BL218" s="12" t="s">
        <v>2292</v>
      </c>
      <c r="BM218" s="12" t="s">
        <v>2292</v>
      </c>
      <c r="BN218" s="12" t="s">
        <v>2292</v>
      </c>
      <c r="BO218" s="12" t="s">
        <v>2291</v>
      </c>
      <c r="BP218" s="12" t="s">
        <v>2601</v>
      </c>
      <c r="BQ218" s="12"/>
      <c r="BR218" s="12"/>
      <c r="BS218" s="12"/>
      <c r="BT218" s="12"/>
      <c r="BU218" s="12" t="s">
        <v>326</v>
      </c>
      <c r="BV218" s="12"/>
      <c r="BW218" s="12" t="s">
        <v>979</v>
      </c>
      <c r="BX218" s="12"/>
      <c r="BY218" s="13" t="s">
        <v>313</v>
      </c>
      <c r="BZ218" s="13" t="s">
        <v>6171</v>
      </c>
      <c r="CA218" s="13" t="s">
        <v>6170</v>
      </c>
      <c r="CB218" s="13" t="s">
        <v>312</v>
      </c>
      <c r="CC218" s="13"/>
      <c r="CD218" s="13" t="s">
        <v>6198</v>
      </c>
      <c r="CE218" s="13"/>
      <c r="CF218" s="13"/>
    </row>
    <row r="219" spans="1:84" ht="18.600000000000001" customHeight="1" x14ac:dyDescent="0.25">
      <c r="A219" s="60" t="s">
        <v>79</v>
      </c>
      <c r="B219" s="2" t="s">
        <v>315</v>
      </c>
      <c r="C219" s="3" t="s">
        <v>2609</v>
      </c>
      <c r="D219" s="12" t="s">
        <v>991</v>
      </c>
      <c r="E219" s="12" t="s">
        <v>990</v>
      </c>
      <c r="F219" s="12" t="s">
        <v>4118</v>
      </c>
      <c r="G219" s="25">
        <v>1885196</v>
      </c>
      <c r="H219" s="25">
        <v>1688426</v>
      </c>
      <c r="I219" s="25">
        <v>25124</v>
      </c>
      <c r="J219" s="25">
        <v>100486</v>
      </c>
      <c r="K219" s="25">
        <v>12244299</v>
      </c>
      <c r="L219" s="25">
        <v>780080</v>
      </c>
      <c r="M219" s="25">
        <v>13024379</v>
      </c>
      <c r="N219" s="31">
        <v>0.94</v>
      </c>
      <c r="O219" s="25">
        <v>258491</v>
      </c>
      <c r="P219" s="25">
        <v>0</v>
      </c>
      <c r="Q219" s="25">
        <v>50621</v>
      </c>
      <c r="R219" s="25">
        <v>14977</v>
      </c>
      <c r="S219" s="25">
        <v>2110</v>
      </c>
      <c r="T219" s="25">
        <v>1622</v>
      </c>
      <c r="U219" s="61">
        <v>1742</v>
      </c>
      <c r="V219" s="58">
        <v>1.4E-3</v>
      </c>
      <c r="W219" s="33">
        <v>1.5E-3</v>
      </c>
      <c r="X219" s="33">
        <v>1E-3</v>
      </c>
      <c r="Y219" s="33">
        <v>2.0000000000000001E-4</v>
      </c>
      <c r="Z219" s="33">
        <v>2E-3</v>
      </c>
      <c r="AA219" s="33">
        <v>1.5E-3</v>
      </c>
      <c r="AB219" s="25">
        <v>773</v>
      </c>
      <c r="AC219" s="25">
        <v>393</v>
      </c>
      <c r="AD219" s="25">
        <v>106</v>
      </c>
      <c r="AE219" s="25">
        <v>4</v>
      </c>
      <c r="AF219" s="25">
        <v>180</v>
      </c>
      <c r="AG219" s="25">
        <v>61</v>
      </c>
      <c r="AH219" s="25">
        <v>29</v>
      </c>
      <c r="AI219" s="12">
        <v>1.76</v>
      </c>
      <c r="AJ219" s="25">
        <v>1805969</v>
      </c>
      <c r="AK219" s="25">
        <v>257051</v>
      </c>
      <c r="AL219" s="33">
        <v>0.16600000000000001</v>
      </c>
      <c r="AM219" s="3" t="s">
        <v>2609</v>
      </c>
      <c r="AN219" s="12" t="s">
        <v>990</v>
      </c>
      <c r="AO219" s="12" t="s">
        <v>990</v>
      </c>
      <c r="AP219" s="12" t="str">
        <f>"676042872452848"</f>
        <v>676042872452848</v>
      </c>
      <c r="AQ219" s="12" t="s">
        <v>991</v>
      </c>
      <c r="AR219" s="12" t="s">
        <v>5863</v>
      </c>
      <c r="AS219" s="12" t="s">
        <v>2610</v>
      </c>
      <c r="AT219" s="12"/>
      <c r="AU219" s="12" t="s">
        <v>324</v>
      </c>
      <c r="AV219" s="12" t="s">
        <v>5731</v>
      </c>
      <c r="AW219" s="12"/>
      <c r="AX219" s="12">
        <v>4973</v>
      </c>
      <c r="AY219" s="12">
        <v>141316</v>
      </c>
      <c r="AZ219" s="12">
        <v>0</v>
      </c>
      <c r="BA219" s="12" t="s">
        <v>992</v>
      </c>
      <c r="BB219" s="12" t="s">
        <v>6691</v>
      </c>
      <c r="BC219" s="12" t="s">
        <v>6692</v>
      </c>
      <c r="BD219" s="12"/>
      <c r="BE219" s="12" t="s">
        <v>2291</v>
      </c>
      <c r="BF219" s="12"/>
      <c r="BG219" s="12"/>
      <c r="BH219" s="12"/>
      <c r="BI219" s="12" t="s">
        <v>5864</v>
      </c>
      <c r="BJ219" s="12" t="s">
        <v>2611</v>
      </c>
      <c r="BK219" s="12"/>
      <c r="BL219" s="12" t="s">
        <v>2292</v>
      </c>
      <c r="BM219" s="12" t="s">
        <v>2292</v>
      </c>
      <c r="BN219" s="12" t="s">
        <v>2292</v>
      </c>
      <c r="BO219" s="12" t="s">
        <v>2291</v>
      </c>
      <c r="BP219" s="12"/>
      <c r="BQ219" s="12"/>
      <c r="BR219" s="12"/>
      <c r="BS219" s="12"/>
      <c r="BT219" s="12"/>
      <c r="BU219" s="12" t="s">
        <v>326</v>
      </c>
      <c r="BV219" s="12"/>
      <c r="BW219" s="12" t="s">
        <v>993</v>
      </c>
      <c r="BX219" s="12"/>
      <c r="BY219" s="13" t="s">
        <v>313</v>
      </c>
      <c r="BZ219" s="13" t="s">
        <v>6170</v>
      </c>
      <c r="CA219" s="13" t="s">
        <v>6170</v>
      </c>
      <c r="CB219" s="13" t="s">
        <v>312</v>
      </c>
      <c r="CC219" s="13"/>
      <c r="CD219" s="13" t="s">
        <v>6198</v>
      </c>
      <c r="CE219" s="13"/>
      <c r="CF219" s="13"/>
    </row>
    <row r="220" spans="1:84" ht="18.600000000000001" customHeight="1" x14ac:dyDescent="0.25">
      <c r="A220" s="60" t="s">
        <v>79</v>
      </c>
      <c r="B220" s="2" t="s">
        <v>315</v>
      </c>
      <c r="C220" s="3" t="s">
        <v>2993</v>
      </c>
      <c r="D220" s="12" t="s">
        <v>994</v>
      </c>
      <c r="E220" s="12" t="s">
        <v>995</v>
      </c>
      <c r="F220" s="12" t="s">
        <v>4364</v>
      </c>
      <c r="G220" s="25">
        <v>1050694</v>
      </c>
      <c r="H220" s="25">
        <v>791918</v>
      </c>
      <c r="I220" s="25">
        <v>41751</v>
      </c>
      <c r="J220" s="25">
        <v>100407</v>
      </c>
      <c r="K220" s="25">
        <v>4548897</v>
      </c>
      <c r="L220" s="25">
        <v>6311728</v>
      </c>
      <c r="M220" s="25">
        <v>10860625</v>
      </c>
      <c r="N220" s="31">
        <v>0.42</v>
      </c>
      <c r="O220" s="25">
        <v>0</v>
      </c>
      <c r="P220" s="25">
        <v>268950</v>
      </c>
      <c r="Q220" s="25">
        <v>87846</v>
      </c>
      <c r="R220" s="25">
        <v>8532</v>
      </c>
      <c r="S220" s="25">
        <v>2344</v>
      </c>
      <c r="T220" s="25">
        <v>12252</v>
      </c>
      <c r="U220" s="61">
        <v>5630</v>
      </c>
      <c r="V220" s="58">
        <v>1.4200000000000001E-2</v>
      </c>
      <c r="W220" s="33">
        <v>1.5599999999999999E-2</v>
      </c>
      <c r="X220" s="33">
        <v>9.1999999999999998E-3</v>
      </c>
      <c r="Y220" s="33">
        <v>5.4000000000000003E-3</v>
      </c>
      <c r="Z220" s="33">
        <v>1.34E-2</v>
      </c>
      <c r="AA220" s="33">
        <v>5.1000000000000004E-3</v>
      </c>
      <c r="AB220" s="25">
        <v>183</v>
      </c>
      <c r="AC220" s="25">
        <v>88</v>
      </c>
      <c r="AD220" s="25">
        <v>3</v>
      </c>
      <c r="AE220" s="25">
        <v>3</v>
      </c>
      <c r="AF220" s="25">
        <v>88</v>
      </c>
      <c r="AG220" s="25">
        <v>0</v>
      </c>
      <c r="AH220" s="25">
        <v>1</v>
      </c>
      <c r="AI220" s="12">
        <v>0.42</v>
      </c>
      <c r="AJ220" s="25">
        <v>420211</v>
      </c>
      <c r="AK220" s="25">
        <v>36105</v>
      </c>
      <c r="AL220" s="33">
        <v>9.4E-2</v>
      </c>
      <c r="AM220" s="3" t="s">
        <v>2993</v>
      </c>
      <c r="AN220" s="12" t="s">
        <v>995</v>
      </c>
      <c r="AO220" s="12" t="s">
        <v>995</v>
      </c>
      <c r="AP220" s="12" t="str">
        <f>"314327765333656"</f>
        <v>314327765333656</v>
      </c>
      <c r="AQ220" s="12" t="s">
        <v>994</v>
      </c>
      <c r="AR220" s="12" t="s">
        <v>7251</v>
      </c>
      <c r="AS220" s="12" t="s">
        <v>996</v>
      </c>
      <c r="AT220" s="12"/>
      <c r="AU220" s="12" t="s">
        <v>324</v>
      </c>
      <c r="AV220" s="12"/>
      <c r="AW220" s="12"/>
      <c r="AX220" s="12">
        <v>0</v>
      </c>
      <c r="AY220" s="12">
        <v>27624</v>
      </c>
      <c r="AZ220" s="12">
        <v>0</v>
      </c>
      <c r="BA220" s="12" t="s">
        <v>997</v>
      </c>
      <c r="BB220" s="12"/>
      <c r="BC220" s="12" t="s">
        <v>7252</v>
      </c>
      <c r="BD220" s="12"/>
      <c r="BE220" s="12" t="s">
        <v>2291</v>
      </c>
      <c r="BF220" s="12"/>
      <c r="BG220" s="12"/>
      <c r="BH220" s="12"/>
      <c r="BI220" s="12" t="s">
        <v>2994</v>
      </c>
      <c r="BJ220" s="12" t="s">
        <v>996</v>
      </c>
      <c r="BK220" s="12"/>
      <c r="BL220" s="12" t="s">
        <v>2292</v>
      </c>
      <c r="BM220" s="12" t="s">
        <v>2292</v>
      </c>
      <c r="BN220" s="12" t="s">
        <v>2292</v>
      </c>
      <c r="BO220" s="12" t="s">
        <v>2291</v>
      </c>
      <c r="BP220" s="12"/>
      <c r="BQ220" s="12"/>
      <c r="BR220" s="12"/>
      <c r="BS220" s="12"/>
      <c r="BT220" s="12"/>
      <c r="BU220" s="12"/>
      <c r="BV220" s="12"/>
      <c r="BW220" s="12"/>
      <c r="BX220" s="12"/>
      <c r="BY220" s="13" t="s">
        <v>313</v>
      </c>
      <c r="BZ220" s="13" t="s">
        <v>6189</v>
      </c>
      <c r="CA220" s="13" t="s">
        <v>6170</v>
      </c>
      <c r="CB220" s="13" t="s">
        <v>6202</v>
      </c>
      <c r="CC220" s="13"/>
      <c r="CD220" s="13" t="s">
        <v>6195</v>
      </c>
      <c r="CE220" s="13"/>
      <c r="CF220" s="13"/>
    </row>
    <row r="221" spans="1:84" ht="18.600000000000001" customHeight="1" x14ac:dyDescent="0.25">
      <c r="A221" s="60" t="s">
        <v>79</v>
      </c>
      <c r="B221" s="2" t="s">
        <v>315</v>
      </c>
      <c r="C221" s="3" t="s">
        <v>2607</v>
      </c>
      <c r="D221" s="12" t="s">
        <v>999</v>
      </c>
      <c r="E221" s="12" t="s">
        <v>998</v>
      </c>
      <c r="F221" s="12" t="s">
        <v>4117</v>
      </c>
      <c r="G221" s="25">
        <v>169146</v>
      </c>
      <c r="H221" s="25">
        <v>130746</v>
      </c>
      <c r="I221" s="25">
        <v>7992</v>
      </c>
      <c r="J221" s="25">
        <v>16379</v>
      </c>
      <c r="K221" s="25">
        <v>30688</v>
      </c>
      <c r="L221" s="25">
        <v>27210</v>
      </c>
      <c r="M221" s="25">
        <v>57898</v>
      </c>
      <c r="N221" s="31">
        <v>0.53</v>
      </c>
      <c r="O221" s="25">
        <v>86766</v>
      </c>
      <c r="P221" s="25">
        <v>0</v>
      </c>
      <c r="Q221" s="25">
        <v>11193</v>
      </c>
      <c r="R221" s="25">
        <v>924</v>
      </c>
      <c r="S221" s="25">
        <v>253</v>
      </c>
      <c r="T221" s="25">
        <v>1269</v>
      </c>
      <c r="U221" s="61">
        <v>387</v>
      </c>
      <c r="V221" s="58">
        <v>1.6000000000000001E-3</v>
      </c>
      <c r="W221" s="33">
        <v>3.5999999999999999E-3</v>
      </c>
      <c r="X221" s="33">
        <v>8.0000000000000004E-4</v>
      </c>
      <c r="Y221" s="33">
        <v>5.0000000000000001E-4</v>
      </c>
      <c r="Z221" s="33">
        <v>4.1999999999999997E-3</v>
      </c>
      <c r="AA221" s="33">
        <v>8.9999999999999998E-4</v>
      </c>
      <c r="AB221" s="25">
        <v>834</v>
      </c>
      <c r="AC221" s="25">
        <v>209</v>
      </c>
      <c r="AD221" s="25">
        <v>488</v>
      </c>
      <c r="AE221" s="25">
        <v>96</v>
      </c>
      <c r="AF221" s="25">
        <v>10</v>
      </c>
      <c r="AG221" s="25">
        <v>30</v>
      </c>
      <c r="AH221" s="25">
        <v>1</v>
      </c>
      <c r="AI221" s="12">
        <v>1.9</v>
      </c>
      <c r="AJ221" s="25">
        <v>131871</v>
      </c>
      <c r="AK221" s="25">
        <v>13708</v>
      </c>
      <c r="AL221" s="33">
        <v>0.11600000000000001</v>
      </c>
      <c r="AM221" s="3" t="s">
        <v>2607</v>
      </c>
      <c r="AN221" s="12" t="s">
        <v>998</v>
      </c>
      <c r="AO221" s="12" t="s">
        <v>998</v>
      </c>
      <c r="AP221" s="12" t="str">
        <f>"119541591451378"</f>
        <v>119541591451378</v>
      </c>
      <c r="AQ221" s="12" t="s">
        <v>999</v>
      </c>
      <c r="AR221" s="12" t="s">
        <v>5860</v>
      </c>
      <c r="AS221" s="12" t="s">
        <v>2608</v>
      </c>
      <c r="AT221" s="12"/>
      <c r="AU221" s="12" t="s">
        <v>324</v>
      </c>
      <c r="AV221" s="12"/>
      <c r="AW221" s="12"/>
      <c r="AX221" s="12">
        <v>0</v>
      </c>
      <c r="AY221" s="12">
        <v>4754</v>
      </c>
      <c r="AZ221" s="12">
        <v>0</v>
      </c>
      <c r="BA221" s="12" t="s">
        <v>1000</v>
      </c>
      <c r="BB221" s="12" t="s">
        <v>6689</v>
      </c>
      <c r="BC221" s="12" t="s">
        <v>6690</v>
      </c>
      <c r="BD221" s="12"/>
      <c r="BE221" s="12" t="s">
        <v>2291</v>
      </c>
      <c r="BF221" s="12"/>
      <c r="BG221" s="12"/>
      <c r="BH221" s="12"/>
      <c r="BI221" s="12" t="s">
        <v>5861</v>
      </c>
      <c r="BJ221" s="12" t="s">
        <v>5862</v>
      </c>
      <c r="BK221" s="12"/>
      <c r="BL221" s="12" t="s">
        <v>2292</v>
      </c>
      <c r="BM221" s="12" t="s">
        <v>2292</v>
      </c>
      <c r="BN221" s="12" t="s">
        <v>2292</v>
      </c>
      <c r="BO221" s="12" t="s">
        <v>2291</v>
      </c>
      <c r="BP221" s="12"/>
      <c r="BQ221" s="12"/>
      <c r="BR221" s="12"/>
      <c r="BS221" s="12"/>
      <c r="BT221" s="12"/>
      <c r="BU221" s="12"/>
      <c r="BV221" s="12"/>
      <c r="BW221" s="12" t="s">
        <v>1001</v>
      </c>
      <c r="BX221" s="12"/>
      <c r="BY221" s="13" t="s">
        <v>313</v>
      </c>
      <c r="BZ221" s="13" t="s">
        <v>312</v>
      </c>
      <c r="CA221" s="13"/>
      <c r="CB221" s="13"/>
      <c r="CC221" s="13"/>
      <c r="CD221" s="13"/>
      <c r="CE221" s="13"/>
      <c r="CF221" s="13"/>
    </row>
    <row r="222" spans="1:84" ht="18.600000000000001" customHeight="1" x14ac:dyDescent="0.25">
      <c r="A222" s="60" t="s">
        <v>79</v>
      </c>
      <c r="B222" s="2" t="s">
        <v>5622</v>
      </c>
      <c r="C222" s="3" t="s">
        <v>5623</v>
      </c>
      <c r="D222" s="12" t="s">
        <v>5685</v>
      </c>
      <c r="E222" s="12"/>
      <c r="F222" s="3" t="s">
        <v>5686</v>
      </c>
      <c r="G222" s="25">
        <v>145540</v>
      </c>
      <c r="H222" s="25">
        <v>121489</v>
      </c>
      <c r="I222" s="25">
        <v>3297</v>
      </c>
      <c r="J222" s="25">
        <v>6442</v>
      </c>
      <c r="K222" s="25">
        <v>133715</v>
      </c>
      <c r="L222" s="25">
        <v>159376</v>
      </c>
      <c r="M222" s="25">
        <v>293091</v>
      </c>
      <c r="N222" s="31">
        <v>0.46</v>
      </c>
      <c r="O222" s="25">
        <v>0</v>
      </c>
      <c r="P222" s="25">
        <v>0</v>
      </c>
      <c r="Q222" s="25">
        <v>8512</v>
      </c>
      <c r="R222" s="25">
        <v>3115</v>
      </c>
      <c r="S222" s="25">
        <v>1261</v>
      </c>
      <c r="T222" s="25">
        <v>813</v>
      </c>
      <c r="U222" s="61">
        <v>608</v>
      </c>
      <c r="V222" s="58">
        <v>3.2099999999999997E-2</v>
      </c>
      <c r="W222" s="33">
        <v>2.9600000000000001E-2</v>
      </c>
      <c r="X222" s="33">
        <v>2.9600000000000001E-2</v>
      </c>
      <c r="Y222" s="33">
        <v>3.3000000000000002E-2</v>
      </c>
      <c r="Z222" s="33">
        <v>4.65E-2</v>
      </c>
      <c r="AA222" s="33">
        <v>2.93E-2</v>
      </c>
      <c r="AB222" s="25">
        <v>383</v>
      </c>
      <c r="AC222" s="25">
        <v>256</v>
      </c>
      <c r="AD222" s="25">
        <v>34</v>
      </c>
      <c r="AE222" s="25">
        <v>59</v>
      </c>
      <c r="AF222" s="25">
        <v>28</v>
      </c>
      <c r="AG222" s="25">
        <v>0</v>
      </c>
      <c r="AH222" s="25">
        <v>6</v>
      </c>
      <c r="AI222" s="12">
        <v>0.87</v>
      </c>
      <c r="AJ222" s="25">
        <v>14174</v>
      </c>
      <c r="AK222" s="25">
        <v>0</v>
      </c>
      <c r="AL222" s="31">
        <v>0</v>
      </c>
      <c r="AM222" s="3" t="s">
        <v>5623</v>
      </c>
      <c r="AN222" s="12" t="s">
        <v>6248</v>
      </c>
      <c r="AO222" s="12"/>
      <c r="AP222" s="12" t="str">
        <f>"168727046514485"</f>
        <v>168727046514485</v>
      </c>
      <c r="AQ222" s="12" t="s">
        <v>5685</v>
      </c>
      <c r="AR222" s="12" t="s">
        <v>5727</v>
      </c>
      <c r="AS222" s="12" t="s">
        <v>5728</v>
      </c>
      <c r="AT222" s="12"/>
      <c r="AU222" s="12" t="s">
        <v>309</v>
      </c>
      <c r="AV222" s="12"/>
      <c r="AW222" s="12"/>
      <c r="AX222" s="12">
        <v>0</v>
      </c>
      <c r="AY222" s="12">
        <v>980</v>
      </c>
      <c r="AZ222" s="12">
        <v>0</v>
      </c>
      <c r="BA222" s="12" t="s">
        <v>5729</v>
      </c>
      <c r="BB222" s="12" t="s">
        <v>6249</v>
      </c>
      <c r="BC222" s="12" t="s">
        <v>6250</v>
      </c>
      <c r="BD222" s="12"/>
      <c r="BE222" s="12" t="s">
        <v>2291</v>
      </c>
      <c r="BF222" s="12"/>
      <c r="BG222" s="12"/>
      <c r="BH222" s="12"/>
      <c r="BI222" s="12"/>
      <c r="BJ222" s="12"/>
      <c r="BK222" s="12"/>
      <c r="BL222" s="12" t="s">
        <v>2292</v>
      </c>
      <c r="BM222" s="12" t="s">
        <v>2292</v>
      </c>
      <c r="BN222" s="12" t="s">
        <v>2292</v>
      </c>
      <c r="BO222" s="12" t="s">
        <v>2292</v>
      </c>
      <c r="BP222" s="12"/>
      <c r="BQ222" s="12"/>
      <c r="BR222" s="12"/>
      <c r="BS222" s="12"/>
      <c r="BT222" s="12"/>
      <c r="BU222" s="12"/>
      <c r="BV222" s="12"/>
      <c r="BW222" s="12" t="s">
        <v>5730</v>
      </c>
      <c r="BX222" s="12"/>
      <c r="BY222" s="13" t="s">
        <v>313</v>
      </c>
      <c r="BZ222" s="13" t="s">
        <v>312</v>
      </c>
      <c r="CA222" s="13"/>
      <c r="CB222" s="13"/>
      <c r="CC222" s="13"/>
      <c r="CD222" s="13"/>
      <c r="CE222" s="13"/>
      <c r="CF222" s="13"/>
    </row>
    <row r="223" spans="1:84" ht="18.600000000000001" customHeight="1" x14ac:dyDescent="0.25">
      <c r="A223" s="60" t="s">
        <v>79</v>
      </c>
      <c r="B223" s="2" t="s">
        <v>335</v>
      </c>
      <c r="C223" s="3" t="s">
        <v>2767</v>
      </c>
      <c r="D223" s="12" t="s">
        <v>1002</v>
      </c>
      <c r="E223" s="12" t="s">
        <v>1003</v>
      </c>
      <c r="F223" s="12" t="s">
        <v>4209</v>
      </c>
      <c r="G223" s="25">
        <v>493015</v>
      </c>
      <c r="H223" s="25">
        <v>423475</v>
      </c>
      <c r="I223" s="25">
        <v>6626</v>
      </c>
      <c r="J223" s="25">
        <v>29569</v>
      </c>
      <c r="K223" s="25">
        <v>368669</v>
      </c>
      <c r="L223" s="25">
        <v>407095</v>
      </c>
      <c r="M223" s="25">
        <v>775764</v>
      </c>
      <c r="N223" s="31">
        <v>0.48</v>
      </c>
      <c r="O223" s="25">
        <v>98100</v>
      </c>
      <c r="P223" s="25">
        <v>0</v>
      </c>
      <c r="Q223" s="25">
        <v>24798</v>
      </c>
      <c r="R223" s="25">
        <v>2283</v>
      </c>
      <c r="S223" s="25">
        <v>2342</v>
      </c>
      <c r="T223" s="25">
        <v>1564</v>
      </c>
      <c r="U223" s="61">
        <v>2326</v>
      </c>
      <c r="V223" s="58">
        <v>1E-3</v>
      </c>
      <c r="W223" s="33">
        <v>1.2999999999999999E-3</v>
      </c>
      <c r="X223" s="33">
        <v>6.9999999999999999E-4</v>
      </c>
      <c r="Y223" s="33">
        <v>5.9999999999999995E-4</v>
      </c>
      <c r="Z223" s="33">
        <v>5.3E-3</v>
      </c>
      <c r="AA223" s="33">
        <v>1E-3</v>
      </c>
      <c r="AB223" s="25">
        <v>4892</v>
      </c>
      <c r="AC223" s="25">
        <v>1955</v>
      </c>
      <c r="AD223" s="25">
        <v>2110</v>
      </c>
      <c r="AE223" s="25">
        <v>631</v>
      </c>
      <c r="AF223" s="25">
        <v>68</v>
      </c>
      <c r="AG223" s="25">
        <v>30</v>
      </c>
      <c r="AH223" s="25">
        <v>98</v>
      </c>
      <c r="AI223" s="12">
        <v>11.14</v>
      </c>
      <c r="AJ223" s="25">
        <v>101767</v>
      </c>
      <c r="AK223" s="25">
        <v>9489</v>
      </c>
      <c r="AL223" s="33">
        <v>0.1028</v>
      </c>
      <c r="AM223" s="3" t="s">
        <v>2767</v>
      </c>
      <c r="AN223" s="12" t="s">
        <v>1003</v>
      </c>
      <c r="AO223" s="12" t="s">
        <v>1003</v>
      </c>
      <c r="AP223" s="12" t="str">
        <f>"148659488539371"</f>
        <v>148659488539371</v>
      </c>
      <c r="AQ223" s="12" t="s">
        <v>1002</v>
      </c>
      <c r="AR223" s="12" t="s">
        <v>4698</v>
      </c>
      <c r="AS223" s="12" t="s">
        <v>1004</v>
      </c>
      <c r="AT223" s="12"/>
      <c r="AU223" s="12" t="s">
        <v>324</v>
      </c>
      <c r="AV223" s="12"/>
      <c r="AW223" s="12" t="s">
        <v>1005</v>
      </c>
      <c r="AX223" s="12">
        <v>0</v>
      </c>
      <c r="AY223" s="12">
        <v>1474</v>
      </c>
      <c r="AZ223" s="12">
        <v>0</v>
      </c>
      <c r="BA223" s="12" t="s">
        <v>1006</v>
      </c>
      <c r="BB223" s="12"/>
      <c r="BC223" s="12" t="s">
        <v>6927</v>
      </c>
      <c r="BD223" s="12"/>
      <c r="BE223" s="12" t="s">
        <v>2291</v>
      </c>
      <c r="BF223" s="12"/>
      <c r="BG223" s="12"/>
      <c r="BH223" s="12"/>
      <c r="BI223" s="12" t="s">
        <v>2768</v>
      </c>
      <c r="BJ223" s="12"/>
      <c r="BK223" s="12"/>
      <c r="BL223" s="12" t="s">
        <v>2292</v>
      </c>
      <c r="BM223" s="12" t="s">
        <v>2292</v>
      </c>
      <c r="BN223" s="12" t="s">
        <v>2292</v>
      </c>
      <c r="BO223" s="12" t="s">
        <v>2291</v>
      </c>
      <c r="BP223" s="12" t="s">
        <v>1007</v>
      </c>
      <c r="BQ223" s="12"/>
      <c r="BR223" s="12"/>
      <c r="BS223" s="12"/>
      <c r="BT223" s="12" t="s">
        <v>3839</v>
      </c>
      <c r="BU223" s="12"/>
      <c r="BV223" s="12"/>
      <c r="BW223" s="12"/>
      <c r="BX223" s="12"/>
      <c r="BY223" s="13" t="s">
        <v>313</v>
      </c>
      <c r="BZ223" s="13" t="s">
        <v>6170</v>
      </c>
      <c r="CA223" s="13" t="s">
        <v>6170</v>
      </c>
      <c r="CB223" s="13" t="s">
        <v>312</v>
      </c>
      <c r="CC223" s="13"/>
      <c r="CD223" s="13" t="s">
        <v>6198</v>
      </c>
      <c r="CE223" s="13"/>
      <c r="CF223" s="13" t="s">
        <v>6178</v>
      </c>
    </row>
    <row r="224" spans="1:84" ht="18.600000000000001" customHeight="1" x14ac:dyDescent="0.25">
      <c r="A224" s="60" t="s">
        <v>79</v>
      </c>
      <c r="B224" s="2" t="s">
        <v>335</v>
      </c>
      <c r="C224" s="3" t="s">
        <v>2769</v>
      </c>
      <c r="D224" s="12" t="s">
        <v>1009</v>
      </c>
      <c r="E224" s="12" t="s">
        <v>1008</v>
      </c>
      <c r="F224" s="12" t="s">
        <v>4210</v>
      </c>
      <c r="G224" s="25">
        <v>159743</v>
      </c>
      <c r="H224" s="25">
        <v>134561</v>
      </c>
      <c r="I224" s="25">
        <v>2753</v>
      </c>
      <c r="J224" s="25">
        <v>14071</v>
      </c>
      <c r="K224" s="25">
        <v>4399519</v>
      </c>
      <c r="L224" s="25">
        <v>166185</v>
      </c>
      <c r="M224" s="25">
        <v>4565704</v>
      </c>
      <c r="N224" s="31">
        <v>0.96</v>
      </c>
      <c r="O224" s="25">
        <v>81617</v>
      </c>
      <c r="P224" s="25">
        <v>0</v>
      </c>
      <c r="Q224" s="25">
        <v>6724</v>
      </c>
      <c r="R224" s="25">
        <v>1065</v>
      </c>
      <c r="S224" s="25">
        <v>204</v>
      </c>
      <c r="T224" s="25">
        <v>239</v>
      </c>
      <c r="U224" s="61">
        <v>125</v>
      </c>
      <c r="V224" s="58">
        <v>2.2000000000000001E-3</v>
      </c>
      <c r="W224" s="33">
        <v>8.9999999999999998E-4</v>
      </c>
      <c r="X224" s="33">
        <v>2.9999999999999997E-4</v>
      </c>
      <c r="Y224" s="33">
        <v>4.0000000000000002E-4</v>
      </c>
      <c r="Z224" s="33">
        <v>1.23E-2</v>
      </c>
      <c r="AA224" s="33">
        <v>2.0000000000000001E-4</v>
      </c>
      <c r="AB224" s="25">
        <v>676</v>
      </c>
      <c r="AC224" s="25">
        <v>488</v>
      </c>
      <c r="AD224" s="25">
        <v>27</v>
      </c>
      <c r="AE224" s="25">
        <v>15</v>
      </c>
      <c r="AF224" s="25">
        <v>80</v>
      </c>
      <c r="AG224" s="25">
        <v>55</v>
      </c>
      <c r="AH224" s="25">
        <v>11</v>
      </c>
      <c r="AI224" s="12">
        <v>1.54</v>
      </c>
      <c r="AJ224" s="25">
        <v>124180</v>
      </c>
      <c r="AK224" s="25">
        <v>25910</v>
      </c>
      <c r="AL224" s="33">
        <v>0.26369999999999999</v>
      </c>
      <c r="AM224" s="3" t="s">
        <v>2769</v>
      </c>
      <c r="AN224" s="12" t="s">
        <v>1008</v>
      </c>
      <c r="AO224" s="12" t="s">
        <v>1008</v>
      </c>
      <c r="AP224" s="12" t="str">
        <f>"187313607986414"</f>
        <v>187313607986414</v>
      </c>
      <c r="AQ224" s="12" t="s">
        <v>1009</v>
      </c>
      <c r="AR224" s="12" t="s">
        <v>1010</v>
      </c>
      <c r="AS224" s="12" t="s">
        <v>1011</v>
      </c>
      <c r="AT224" s="12"/>
      <c r="AU224" s="12" t="s">
        <v>324</v>
      </c>
      <c r="AV224" s="12"/>
      <c r="AW224" s="12">
        <v>1869</v>
      </c>
      <c r="AX224" s="12">
        <v>0</v>
      </c>
      <c r="AY224" s="12">
        <v>449</v>
      </c>
      <c r="AZ224" s="12">
        <v>0</v>
      </c>
      <c r="BA224" s="12" t="s">
        <v>1012</v>
      </c>
      <c r="BB224" s="12"/>
      <c r="BC224" s="12" t="s">
        <v>6928</v>
      </c>
      <c r="BD224" s="12"/>
      <c r="BE224" s="12" t="s">
        <v>2291</v>
      </c>
      <c r="BF224" s="12"/>
      <c r="BG224" s="12"/>
      <c r="BH224" s="12"/>
      <c r="BI224" s="12" t="s">
        <v>2770</v>
      </c>
      <c r="BJ224" s="12"/>
      <c r="BK224" s="12"/>
      <c r="BL224" s="12" t="s">
        <v>2292</v>
      </c>
      <c r="BM224" s="12" t="s">
        <v>2292</v>
      </c>
      <c r="BN224" s="12" t="s">
        <v>2292</v>
      </c>
      <c r="BO224" s="12" t="s">
        <v>2291</v>
      </c>
      <c r="BP224" s="12"/>
      <c r="BQ224" s="12"/>
      <c r="BR224" s="12"/>
      <c r="BS224" s="12"/>
      <c r="BT224" s="12" t="s">
        <v>2771</v>
      </c>
      <c r="BU224" s="12"/>
      <c r="BV224" s="12"/>
      <c r="BW224" s="12"/>
      <c r="BX224" s="12"/>
      <c r="BY224" s="13" t="s">
        <v>313</v>
      </c>
      <c r="BZ224" s="13" t="s">
        <v>312</v>
      </c>
      <c r="CA224" s="13"/>
      <c r="CB224" s="13"/>
      <c r="CC224" s="13"/>
      <c r="CD224" s="13"/>
      <c r="CE224" s="13"/>
      <c r="CF224" s="13"/>
    </row>
    <row r="225" spans="1:84" ht="18.600000000000001" customHeight="1" x14ac:dyDescent="0.25">
      <c r="A225" s="60" t="s">
        <v>80</v>
      </c>
      <c r="B225" s="2" t="s">
        <v>1013</v>
      </c>
      <c r="C225" s="3" t="s">
        <v>2932</v>
      </c>
      <c r="D225" s="12" t="s">
        <v>1013</v>
      </c>
      <c r="E225" s="12" t="s">
        <v>81</v>
      </c>
      <c r="F225" s="12" t="s">
        <v>4331</v>
      </c>
      <c r="G225" s="25">
        <v>3666297</v>
      </c>
      <c r="H225" s="25">
        <v>3192867</v>
      </c>
      <c r="I225" s="25">
        <v>125766</v>
      </c>
      <c r="J225" s="25">
        <v>100553</v>
      </c>
      <c r="K225" s="25">
        <v>13576148</v>
      </c>
      <c r="L225" s="25">
        <v>963675</v>
      </c>
      <c r="M225" s="25">
        <v>14539823</v>
      </c>
      <c r="N225" s="31">
        <v>0.93</v>
      </c>
      <c r="O225" s="25">
        <v>1092547</v>
      </c>
      <c r="P225" s="25">
        <v>90252</v>
      </c>
      <c r="Q225" s="25">
        <v>228639</v>
      </c>
      <c r="R225" s="25">
        <v>10129</v>
      </c>
      <c r="S225" s="25">
        <v>3171</v>
      </c>
      <c r="T225" s="25">
        <v>3929</v>
      </c>
      <c r="U225" s="61">
        <v>963</v>
      </c>
      <c r="V225" s="58">
        <v>2.0999999999999999E-3</v>
      </c>
      <c r="W225" s="33">
        <v>2.3E-3</v>
      </c>
      <c r="X225" s="33">
        <v>2.5000000000000001E-3</v>
      </c>
      <c r="Y225" s="33">
        <v>1E-3</v>
      </c>
      <c r="Z225" s="33">
        <v>1.8E-3</v>
      </c>
      <c r="AA225" s="12" t="s">
        <v>3926</v>
      </c>
      <c r="AB225" s="25">
        <v>134</v>
      </c>
      <c r="AC225" s="25">
        <v>89</v>
      </c>
      <c r="AD225" s="25">
        <v>6</v>
      </c>
      <c r="AE225" s="25">
        <v>3</v>
      </c>
      <c r="AF225" s="25">
        <v>26</v>
      </c>
      <c r="AG225" s="25">
        <v>10</v>
      </c>
      <c r="AH225" s="25">
        <v>0</v>
      </c>
      <c r="AI225" s="12">
        <v>0.31</v>
      </c>
      <c r="AJ225" s="25">
        <v>16025659</v>
      </c>
      <c r="AK225" s="25">
        <v>5923549</v>
      </c>
      <c r="AL225" s="33">
        <v>0.58640000000000003</v>
      </c>
      <c r="AM225" s="3" t="s">
        <v>2932</v>
      </c>
      <c r="AN225" s="12" t="s">
        <v>81</v>
      </c>
      <c r="AO225" s="12" t="s">
        <v>81</v>
      </c>
      <c r="AP225" s="12" t="str">
        <f>"77319320825"</f>
        <v>77319320825</v>
      </c>
      <c r="AQ225" s="12" t="s">
        <v>1013</v>
      </c>
      <c r="AR225" s="12" t="s">
        <v>1014</v>
      </c>
      <c r="AS225" s="12" t="s">
        <v>2933</v>
      </c>
      <c r="AT225" s="12"/>
      <c r="AU225" s="12" t="s">
        <v>319</v>
      </c>
      <c r="AV225" s="12"/>
      <c r="AW225" s="12"/>
      <c r="AX225" s="12">
        <v>0</v>
      </c>
      <c r="AY225" s="12">
        <v>59916</v>
      </c>
      <c r="AZ225" s="12">
        <v>0</v>
      </c>
      <c r="BA225" s="12" t="s">
        <v>1015</v>
      </c>
      <c r="BB225" s="12" t="s">
        <v>5993</v>
      </c>
      <c r="BC225" s="12" t="s">
        <v>7171</v>
      </c>
      <c r="BD225" s="12"/>
      <c r="BE225" s="12" t="s">
        <v>2291</v>
      </c>
      <c r="BF225" s="12"/>
      <c r="BG225" s="12"/>
      <c r="BH225" s="12"/>
      <c r="BI225" s="12"/>
      <c r="BJ225" s="12"/>
      <c r="BK225" s="12"/>
      <c r="BL225" s="12" t="s">
        <v>2292</v>
      </c>
      <c r="BM225" s="12" t="s">
        <v>2292</v>
      </c>
      <c r="BN225" s="12" t="s">
        <v>2292</v>
      </c>
      <c r="BO225" s="12" t="s">
        <v>2291</v>
      </c>
      <c r="BP225" s="12"/>
      <c r="BQ225" s="12"/>
      <c r="BR225" s="12" t="s">
        <v>2934</v>
      </c>
      <c r="BS225" s="12"/>
      <c r="BT225" s="12"/>
      <c r="BU225" s="12"/>
      <c r="BV225" s="12"/>
      <c r="BW225" s="12" t="s">
        <v>1016</v>
      </c>
      <c r="BX225" s="12"/>
      <c r="BY225" s="13" t="s">
        <v>313</v>
      </c>
      <c r="BZ225" s="13" t="s">
        <v>6170</v>
      </c>
      <c r="CA225" s="13" t="s">
        <v>6170</v>
      </c>
      <c r="CB225" s="13" t="s">
        <v>312</v>
      </c>
      <c r="CC225" s="13"/>
      <c r="CD225" s="13" t="s">
        <v>6198</v>
      </c>
      <c r="CE225" s="13"/>
      <c r="CF225" s="13"/>
    </row>
    <row r="226" spans="1:84" ht="18.600000000000001" customHeight="1" x14ac:dyDescent="0.25">
      <c r="A226" s="60" t="s">
        <v>80</v>
      </c>
      <c r="B226" s="2" t="s">
        <v>802</v>
      </c>
      <c r="C226" s="3" t="s">
        <v>2952</v>
      </c>
      <c r="D226" s="12" t="s">
        <v>1018</v>
      </c>
      <c r="E226" s="12" t="s">
        <v>82</v>
      </c>
      <c r="F226" s="12" t="s">
        <v>4339</v>
      </c>
      <c r="G226" s="25">
        <v>4258838</v>
      </c>
      <c r="H226" s="25">
        <v>3679708</v>
      </c>
      <c r="I226" s="25">
        <v>157117</v>
      </c>
      <c r="J226" s="25">
        <v>216656</v>
      </c>
      <c r="K226" s="25">
        <v>31571238</v>
      </c>
      <c r="L226" s="25">
        <v>5970787</v>
      </c>
      <c r="M226" s="25">
        <v>37542025</v>
      </c>
      <c r="N226" s="31">
        <v>0.84</v>
      </c>
      <c r="O226" s="25">
        <v>0</v>
      </c>
      <c r="P226" s="25">
        <v>336773</v>
      </c>
      <c r="Q226" s="25">
        <v>188642</v>
      </c>
      <c r="R226" s="25">
        <v>8048</v>
      </c>
      <c r="S226" s="25">
        <v>4584</v>
      </c>
      <c r="T226" s="25">
        <v>2632</v>
      </c>
      <c r="U226" s="61">
        <v>1439</v>
      </c>
      <c r="V226" s="58">
        <v>2.5999999999999999E-3</v>
      </c>
      <c r="W226" s="33">
        <v>2E-3</v>
      </c>
      <c r="X226" s="33">
        <v>2.5000000000000001E-3</v>
      </c>
      <c r="Y226" s="33">
        <v>1.1000000000000001E-3</v>
      </c>
      <c r="Z226" s="33">
        <v>4.7000000000000002E-3</v>
      </c>
      <c r="AA226" s="33">
        <v>3.8999999999999998E-3</v>
      </c>
      <c r="AB226" s="25">
        <v>614</v>
      </c>
      <c r="AC226" s="25">
        <v>456</v>
      </c>
      <c r="AD226" s="25">
        <v>31</v>
      </c>
      <c r="AE226" s="25">
        <v>1</v>
      </c>
      <c r="AF226" s="25">
        <v>123</v>
      </c>
      <c r="AG226" s="25">
        <v>0</v>
      </c>
      <c r="AH226" s="25">
        <v>3</v>
      </c>
      <c r="AI226" s="12">
        <v>1.4</v>
      </c>
      <c r="AJ226" s="25">
        <v>2968416</v>
      </c>
      <c r="AK226" s="25">
        <v>523935</v>
      </c>
      <c r="AL226" s="33">
        <v>0.21429999999999999</v>
      </c>
      <c r="AM226" s="3" t="s">
        <v>2952</v>
      </c>
      <c r="AN226" s="12" t="s">
        <v>82</v>
      </c>
      <c r="AO226" s="12" t="s">
        <v>82</v>
      </c>
      <c r="AP226" s="12" t="str">
        <f>"383533738363079"</f>
        <v>383533738363079</v>
      </c>
      <c r="AQ226" s="12" t="s">
        <v>1018</v>
      </c>
      <c r="AR226" s="12" t="s">
        <v>4759</v>
      </c>
      <c r="AS226" s="12" t="s">
        <v>5445</v>
      </c>
      <c r="AT226" s="12"/>
      <c r="AU226" s="12" t="s">
        <v>358</v>
      </c>
      <c r="AV226" s="12"/>
      <c r="AW226" s="12"/>
      <c r="AX226" s="12">
        <v>0</v>
      </c>
      <c r="AY226" s="12">
        <v>12337</v>
      </c>
      <c r="AZ226" s="12">
        <v>0</v>
      </c>
      <c r="BA226" s="12" t="s">
        <v>1017</v>
      </c>
      <c r="BB226" s="12" t="s">
        <v>5993</v>
      </c>
      <c r="BC226" s="12" t="s">
        <v>7194</v>
      </c>
      <c r="BD226" s="12"/>
      <c r="BE226" s="12" t="s">
        <v>2291</v>
      </c>
      <c r="BF226" s="12"/>
      <c r="BG226" s="12"/>
      <c r="BH226" s="12"/>
      <c r="BI226" s="12" t="s">
        <v>2953</v>
      </c>
      <c r="BJ226" s="12" t="s">
        <v>2954</v>
      </c>
      <c r="BK226" s="12"/>
      <c r="BL226" s="12" t="s">
        <v>2292</v>
      </c>
      <c r="BM226" s="12" t="s">
        <v>2292</v>
      </c>
      <c r="BN226" s="12" t="s">
        <v>2292</v>
      </c>
      <c r="BO226" s="12" t="s">
        <v>2291</v>
      </c>
      <c r="BP226" s="12"/>
      <c r="BQ226" s="12"/>
      <c r="BR226" s="12"/>
      <c r="BS226" s="12"/>
      <c r="BT226" s="12"/>
      <c r="BU226" s="12"/>
      <c r="BV226" s="12"/>
      <c r="BW226" s="12" t="s">
        <v>1016</v>
      </c>
      <c r="BX226" s="12"/>
      <c r="BY226" s="13" t="s">
        <v>313</v>
      </c>
      <c r="BZ226" s="13" t="s">
        <v>6173</v>
      </c>
      <c r="CA226" s="13" t="s">
        <v>6170</v>
      </c>
      <c r="CB226" s="13" t="s">
        <v>312</v>
      </c>
      <c r="CC226" s="13"/>
      <c r="CD226" s="13" t="s">
        <v>6198</v>
      </c>
      <c r="CE226" s="13"/>
      <c r="CF226" s="13"/>
    </row>
    <row r="227" spans="1:84" ht="18.600000000000001" customHeight="1" x14ac:dyDescent="0.25">
      <c r="A227" s="60" t="s">
        <v>80</v>
      </c>
      <c r="B227" s="2" t="s">
        <v>1023</v>
      </c>
      <c r="C227" s="3" t="s">
        <v>2444</v>
      </c>
      <c r="D227" s="12" t="s">
        <v>1019</v>
      </c>
      <c r="E227" s="12" t="s">
        <v>1020</v>
      </c>
      <c r="F227" s="12" t="s">
        <v>4020</v>
      </c>
      <c r="G227" s="25">
        <v>113030</v>
      </c>
      <c r="H227" s="25">
        <v>95347</v>
      </c>
      <c r="I227" s="25">
        <v>12440</v>
      </c>
      <c r="J227" s="25">
        <v>1479</v>
      </c>
      <c r="K227" s="25">
        <v>221979</v>
      </c>
      <c r="L227" s="25">
        <v>20894</v>
      </c>
      <c r="M227" s="25">
        <v>242873</v>
      </c>
      <c r="N227" s="31">
        <v>0.91</v>
      </c>
      <c r="O227" s="25">
        <v>39854</v>
      </c>
      <c r="P227" s="25">
        <v>0</v>
      </c>
      <c r="Q227" s="25">
        <v>2781</v>
      </c>
      <c r="R227" s="25">
        <v>97</v>
      </c>
      <c r="S227" s="25">
        <v>693</v>
      </c>
      <c r="T227" s="25">
        <v>113</v>
      </c>
      <c r="U227" s="61">
        <v>80</v>
      </c>
      <c r="V227" s="58">
        <v>1.43E-2</v>
      </c>
      <c r="W227" s="33">
        <v>0.02</v>
      </c>
      <c r="X227" s="33">
        <v>3.7000000000000002E-3</v>
      </c>
      <c r="Y227" s="33">
        <v>1.8800000000000001E-2</v>
      </c>
      <c r="Z227" s="33">
        <v>1.0500000000000001E-2</v>
      </c>
      <c r="AA227" s="33">
        <v>5.0000000000000001E-3</v>
      </c>
      <c r="AB227" s="25">
        <v>52</v>
      </c>
      <c r="AC227" s="25">
        <v>16</v>
      </c>
      <c r="AD227" s="25">
        <v>3</v>
      </c>
      <c r="AE227" s="25">
        <v>16</v>
      </c>
      <c r="AF227" s="25">
        <v>7</v>
      </c>
      <c r="AG227" s="25">
        <v>7</v>
      </c>
      <c r="AH227" s="25">
        <v>3</v>
      </c>
      <c r="AI227" s="12">
        <v>0.12</v>
      </c>
      <c r="AJ227" s="25">
        <v>155566</v>
      </c>
      <c r="AK227" s="25">
        <v>7913</v>
      </c>
      <c r="AL227" s="33">
        <v>5.3600000000000002E-2</v>
      </c>
      <c r="AM227" s="3" t="s">
        <v>2444</v>
      </c>
      <c r="AN227" s="12" t="s">
        <v>1020</v>
      </c>
      <c r="AO227" s="12" t="s">
        <v>1020</v>
      </c>
      <c r="AP227" s="12" t="str">
        <f>"163996706947043"</f>
        <v>163996706947043</v>
      </c>
      <c r="AQ227" s="12" t="s">
        <v>1019</v>
      </c>
      <c r="AR227" s="12"/>
      <c r="AS227" s="12" t="s">
        <v>1144</v>
      </c>
      <c r="AT227" s="12" t="s">
        <v>4817</v>
      </c>
      <c r="AU227" s="12" t="s">
        <v>309</v>
      </c>
      <c r="AV227" s="12" t="s">
        <v>5802</v>
      </c>
      <c r="AW227" s="12"/>
      <c r="AX227" s="12">
        <v>0</v>
      </c>
      <c r="AY227" s="12">
        <v>90</v>
      </c>
      <c r="AZ227" s="12">
        <v>0</v>
      </c>
      <c r="BA227" s="12" t="s">
        <v>1021</v>
      </c>
      <c r="BB227" s="12" t="s">
        <v>6477</v>
      </c>
      <c r="BC227" s="12" t="s">
        <v>6478</v>
      </c>
      <c r="BD227" s="12"/>
      <c r="BE227" s="12" t="s">
        <v>2291</v>
      </c>
      <c r="BF227" s="12"/>
      <c r="BG227" s="12"/>
      <c r="BH227" s="12"/>
      <c r="BI227" s="12"/>
      <c r="BJ227" s="12"/>
      <c r="BK227" s="12"/>
      <c r="BL227" s="12" t="s">
        <v>2292</v>
      </c>
      <c r="BM227" s="12" t="s">
        <v>2292</v>
      </c>
      <c r="BN227" s="12" t="s">
        <v>2292</v>
      </c>
      <c r="BO227" s="12" t="s">
        <v>2291</v>
      </c>
      <c r="BP227" s="12"/>
      <c r="BQ227" s="12"/>
      <c r="BR227" s="12" t="s">
        <v>2445</v>
      </c>
      <c r="BS227" s="12"/>
      <c r="BT227" s="12"/>
      <c r="BU227" s="12" t="s">
        <v>326</v>
      </c>
      <c r="BV227" s="12"/>
      <c r="BW227" s="12" t="s">
        <v>1022</v>
      </c>
      <c r="BX227" s="12"/>
      <c r="BY227" s="13" t="s">
        <v>313</v>
      </c>
      <c r="BZ227" s="13" t="s">
        <v>312</v>
      </c>
      <c r="CA227" s="13" t="s">
        <v>6170</v>
      </c>
      <c r="CB227" s="13" t="s">
        <v>6201</v>
      </c>
      <c r="CC227" s="13"/>
      <c r="CD227" s="13" t="s">
        <v>6198</v>
      </c>
      <c r="CE227" s="13"/>
      <c r="CF227" s="13"/>
    </row>
    <row r="228" spans="1:84" ht="18.600000000000001" customHeight="1" x14ac:dyDescent="0.25">
      <c r="A228" s="60" t="s">
        <v>80</v>
      </c>
      <c r="B228" s="2" t="s">
        <v>315</v>
      </c>
      <c r="C228" s="3" t="s">
        <v>2854</v>
      </c>
      <c r="D228" s="12" t="s">
        <v>5671</v>
      </c>
      <c r="E228" s="12" t="s">
        <v>1024</v>
      </c>
      <c r="F228" s="12" t="s">
        <v>4270</v>
      </c>
      <c r="G228" s="25">
        <v>625685</v>
      </c>
      <c r="H228" s="25">
        <v>503507</v>
      </c>
      <c r="I228" s="25">
        <v>65791</v>
      </c>
      <c r="J228" s="25">
        <v>21999</v>
      </c>
      <c r="K228" s="25">
        <v>8177776</v>
      </c>
      <c r="L228" s="25">
        <v>631025</v>
      </c>
      <c r="M228" s="25">
        <v>8808801</v>
      </c>
      <c r="N228" s="31">
        <v>0.93</v>
      </c>
      <c r="O228" s="25">
        <v>228173</v>
      </c>
      <c r="P228" s="25">
        <v>117775</v>
      </c>
      <c r="Q228" s="25">
        <v>11179</v>
      </c>
      <c r="R228" s="25">
        <v>1570</v>
      </c>
      <c r="S228" s="25">
        <v>15743</v>
      </c>
      <c r="T228" s="25">
        <v>1076</v>
      </c>
      <c r="U228" s="61">
        <v>4820</v>
      </c>
      <c r="V228" s="58">
        <v>6.6E-3</v>
      </c>
      <c r="W228" s="33">
        <v>4.4000000000000003E-3</v>
      </c>
      <c r="X228" s="33">
        <v>5.7999999999999996E-3</v>
      </c>
      <c r="Y228" s="33">
        <v>1E-4</v>
      </c>
      <c r="Z228" s="33">
        <v>2.35E-2</v>
      </c>
      <c r="AA228" s="33">
        <v>2.0000000000000001E-4</v>
      </c>
      <c r="AB228" s="25">
        <v>1596</v>
      </c>
      <c r="AC228" s="25">
        <v>861</v>
      </c>
      <c r="AD228" s="25">
        <v>18</v>
      </c>
      <c r="AE228" s="25">
        <v>496</v>
      </c>
      <c r="AF228" s="25">
        <v>111</v>
      </c>
      <c r="AG228" s="25">
        <v>63</v>
      </c>
      <c r="AH228" s="25">
        <v>47</v>
      </c>
      <c r="AI228" s="12">
        <v>3.64</v>
      </c>
      <c r="AJ228" s="25">
        <v>209263</v>
      </c>
      <c r="AK228" s="25">
        <v>189118</v>
      </c>
      <c r="AL228" s="33">
        <v>9.3878000000000004</v>
      </c>
      <c r="AM228" s="3" t="s">
        <v>2854</v>
      </c>
      <c r="AN228" s="12" t="s">
        <v>1024</v>
      </c>
      <c r="AO228" s="12" t="s">
        <v>1024</v>
      </c>
      <c r="AP228" s="12" t="str">
        <f>"151354084892458"</f>
        <v>151354084892458</v>
      </c>
      <c r="AQ228" s="12" t="s">
        <v>5671</v>
      </c>
      <c r="AR228" s="12" t="s">
        <v>3649</v>
      </c>
      <c r="AS228" s="12" t="s">
        <v>5971</v>
      </c>
      <c r="AT228" s="12"/>
      <c r="AU228" s="12" t="s">
        <v>324</v>
      </c>
      <c r="AV228" s="12" t="s">
        <v>5731</v>
      </c>
      <c r="AW228" s="12" t="s">
        <v>2855</v>
      </c>
      <c r="AX228" s="12">
        <v>283</v>
      </c>
      <c r="AY228" s="12">
        <v>15875</v>
      </c>
      <c r="AZ228" s="12">
        <v>283</v>
      </c>
      <c r="BA228" s="12" t="s">
        <v>1025</v>
      </c>
      <c r="BB228" s="12" t="s">
        <v>7044</v>
      </c>
      <c r="BC228" s="12" t="s">
        <v>7045</v>
      </c>
      <c r="BD228" s="12"/>
      <c r="BE228" s="12" t="s">
        <v>2291</v>
      </c>
      <c r="BF228" s="12"/>
      <c r="BG228" s="12"/>
      <c r="BH228" s="12"/>
      <c r="BI228" s="12" t="s">
        <v>5972</v>
      </c>
      <c r="BJ228" s="12" t="s">
        <v>5973</v>
      </c>
      <c r="BK228" s="12"/>
      <c r="BL228" s="12" t="s">
        <v>2292</v>
      </c>
      <c r="BM228" s="12" t="s">
        <v>2292</v>
      </c>
      <c r="BN228" s="12" t="s">
        <v>2292</v>
      </c>
      <c r="BO228" s="12" t="s">
        <v>2291</v>
      </c>
      <c r="BP228" s="12" t="s">
        <v>5974</v>
      </c>
      <c r="BQ228" s="12"/>
      <c r="BR228" s="12"/>
      <c r="BS228" s="12"/>
      <c r="BT228" s="12"/>
      <c r="BU228" s="12" t="s">
        <v>326</v>
      </c>
      <c r="BV228" s="12"/>
      <c r="BW228" s="12" t="s">
        <v>1026</v>
      </c>
      <c r="BX228" s="12"/>
      <c r="BY228" s="13" t="s">
        <v>313</v>
      </c>
      <c r="BZ228" s="13" t="s">
        <v>312</v>
      </c>
      <c r="CA228" s="13"/>
      <c r="CB228" s="13"/>
      <c r="CC228" s="13"/>
      <c r="CD228" s="13"/>
      <c r="CE228" s="13"/>
      <c r="CF228" s="13" t="s">
        <v>6178</v>
      </c>
    </row>
    <row r="229" spans="1:84" ht="18.600000000000001" customHeight="1" x14ac:dyDescent="0.25">
      <c r="A229" s="60" t="s">
        <v>80</v>
      </c>
      <c r="B229" s="2" t="s">
        <v>335</v>
      </c>
      <c r="C229" s="3" t="s">
        <v>2494</v>
      </c>
      <c r="D229" s="12" t="s">
        <v>4939</v>
      </c>
      <c r="E229" s="12" t="s">
        <v>1027</v>
      </c>
      <c r="F229" s="12" t="s">
        <v>4053</v>
      </c>
      <c r="G229" s="25">
        <v>6962</v>
      </c>
      <c r="H229" s="25">
        <v>5407</v>
      </c>
      <c r="I229" s="25">
        <v>203</v>
      </c>
      <c r="J229" s="25">
        <v>1142</v>
      </c>
      <c r="K229" s="25">
        <v>18416</v>
      </c>
      <c r="L229" s="25">
        <v>23830</v>
      </c>
      <c r="M229" s="25">
        <v>42246</v>
      </c>
      <c r="N229" s="31">
        <v>0.44</v>
      </c>
      <c r="O229" s="25">
        <v>2773</v>
      </c>
      <c r="P229" s="25">
        <v>15272</v>
      </c>
      <c r="Q229" s="25">
        <v>173</v>
      </c>
      <c r="R229" s="25">
        <v>6</v>
      </c>
      <c r="S229" s="25">
        <v>9</v>
      </c>
      <c r="T229" s="25">
        <v>17</v>
      </c>
      <c r="U229" s="61">
        <v>5</v>
      </c>
      <c r="V229" s="58">
        <v>1.1999999999999999E-3</v>
      </c>
      <c r="W229" s="33">
        <v>1.2999999999999999E-3</v>
      </c>
      <c r="X229" s="33">
        <v>6.9999999999999999E-4</v>
      </c>
      <c r="Y229" s="33">
        <v>1E-3</v>
      </c>
      <c r="Z229" s="33">
        <v>1.5E-3</v>
      </c>
      <c r="AA229" s="33">
        <v>8.0000000000000004E-4</v>
      </c>
      <c r="AB229" s="25">
        <v>333</v>
      </c>
      <c r="AC229" s="25">
        <v>152</v>
      </c>
      <c r="AD229" s="25">
        <v>8</v>
      </c>
      <c r="AE229" s="25">
        <v>104</v>
      </c>
      <c r="AF229" s="25">
        <v>41</v>
      </c>
      <c r="AG229" s="25">
        <v>8</v>
      </c>
      <c r="AH229" s="25">
        <v>20</v>
      </c>
      <c r="AI229" s="12">
        <v>0.76</v>
      </c>
      <c r="AJ229" s="25">
        <v>18559</v>
      </c>
      <c r="AK229" s="25">
        <v>2503</v>
      </c>
      <c r="AL229" s="33">
        <v>0.15590000000000001</v>
      </c>
      <c r="AM229" s="3" t="s">
        <v>2494</v>
      </c>
      <c r="AN229" s="12" t="s">
        <v>1027</v>
      </c>
      <c r="AO229" s="12" t="s">
        <v>1027</v>
      </c>
      <c r="AP229" s="12" t="str">
        <f>"325962400775801"</f>
        <v>325962400775801</v>
      </c>
      <c r="AQ229" s="12" t="s">
        <v>4939</v>
      </c>
      <c r="AR229" s="12" t="s">
        <v>3141</v>
      </c>
      <c r="AS229" s="12" t="s">
        <v>2495</v>
      </c>
      <c r="AT229" s="12"/>
      <c r="AU229" s="12" t="s">
        <v>324</v>
      </c>
      <c r="AV229" s="12" t="s">
        <v>5731</v>
      </c>
      <c r="AW229" s="12"/>
      <c r="AX229" s="12">
        <v>291</v>
      </c>
      <c r="AY229" s="12">
        <v>216</v>
      </c>
      <c r="AZ229" s="12">
        <v>291</v>
      </c>
      <c r="BA229" s="12" t="s">
        <v>1028</v>
      </c>
      <c r="BB229" s="12" t="s">
        <v>6552</v>
      </c>
      <c r="BC229" s="12" t="s">
        <v>6553</v>
      </c>
      <c r="BD229" s="12"/>
      <c r="BE229" s="12" t="s">
        <v>2291</v>
      </c>
      <c r="BF229" s="12"/>
      <c r="BG229" s="12"/>
      <c r="BH229" s="12"/>
      <c r="BI229" s="12"/>
      <c r="BJ229" s="12" t="s">
        <v>2496</v>
      </c>
      <c r="BK229" s="12" t="s">
        <v>6554</v>
      </c>
      <c r="BL229" s="12" t="s">
        <v>2292</v>
      </c>
      <c r="BM229" s="12" t="s">
        <v>2292</v>
      </c>
      <c r="BN229" s="12" t="s">
        <v>2292</v>
      </c>
      <c r="BO229" s="12" t="s">
        <v>2291</v>
      </c>
      <c r="BP229" s="12" t="s">
        <v>2497</v>
      </c>
      <c r="BQ229" s="12"/>
      <c r="BR229" s="12"/>
      <c r="BS229" s="12"/>
      <c r="BT229" s="12">
        <v>96265501444</v>
      </c>
      <c r="BU229" s="12" t="s">
        <v>326</v>
      </c>
      <c r="BV229" s="12"/>
      <c r="BW229" s="12" t="s">
        <v>1029</v>
      </c>
      <c r="BX229" s="12"/>
      <c r="BY229" s="13" t="s">
        <v>313</v>
      </c>
      <c r="BZ229" s="13" t="s">
        <v>6181</v>
      </c>
      <c r="CA229" s="13" t="s">
        <v>6170</v>
      </c>
      <c r="CB229" s="13" t="s">
        <v>6201</v>
      </c>
      <c r="CC229" s="13"/>
      <c r="CD229" s="13" t="s">
        <v>6198</v>
      </c>
      <c r="CE229" s="13"/>
      <c r="CF229" s="13"/>
    </row>
    <row r="230" spans="1:84" ht="18.600000000000001" customHeight="1" x14ac:dyDescent="0.25">
      <c r="A230" s="60" t="s">
        <v>83</v>
      </c>
      <c r="B230" s="2" t="s">
        <v>314</v>
      </c>
      <c r="C230" s="3" t="s">
        <v>2301</v>
      </c>
      <c r="D230" s="12" t="s">
        <v>84</v>
      </c>
      <c r="E230" s="12" t="s">
        <v>84</v>
      </c>
      <c r="F230" s="12" t="s">
        <v>3933</v>
      </c>
      <c r="G230" s="25">
        <v>94408</v>
      </c>
      <c r="H230" s="25">
        <v>70130</v>
      </c>
      <c r="I230" s="25">
        <v>3848</v>
      </c>
      <c r="J230" s="25">
        <v>17038</v>
      </c>
      <c r="K230" s="25">
        <v>247667</v>
      </c>
      <c r="L230" s="25">
        <v>279578</v>
      </c>
      <c r="M230" s="25">
        <v>527245</v>
      </c>
      <c r="N230" s="31">
        <v>0.47</v>
      </c>
      <c r="O230" s="25">
        <v>0</v>
      </c>
      <c r="P230" s="25">
        <v>12696</v>
      </c>
      <c r="Q230" s="25">
        <v>2913</v>
      </c>
      <c r="R230" s="25">
        <v>167</v>
      </c>
      <c r="S230" s="25">
        <v>100</v>
      </c>
      <c r="T230" s="25">
        <v>137</v>
      </c>
      <c r="U230" s="61">
        <v>75</v>
      </c>
      <c r="V230" s="58">
        <v>7.3000000000000001E-3</v>
      </c>
      <c r="W230" s="33">
        <v>8.5000000000000006E-3</v>
      </c>
      <c r="X230" s="33">
        <v>5.5999999999999999E-3</v>
      </c>
      <c r="Y230" s="33">
        <v>3.2000000000000002E-3</v>
      </c>
      <c r="Z230" s="33">
        <v>1.6199999999999999E-2</v>
      </c>
      <c r="AA230" s="33">
        <v>5.3E-3</v>
      </c>
      <c r="AB230" s="25">
        <v>440</v>
      </c>
      <c r="AC230" s="25">
        <v>170</v>
      </c>
      <c r="AD230" s="25">
        <v>167</v>
      </c>
      <c r="AE230" s="25">
        <v>51</v>
      </c>
      <c r="AF230" s="25">
        <v>44</v>
      </c>
      <c r="AG230" s="25">
        <v>0</v>
      </c>
      <c r="AH230" s="25">
        <v>8</v>
      </c>
      <c r="AI230" s="12">
        <v>1</v>
      </c>
      <c r="AJ230" s="25">
        <v>32221</v>
      </c>
      <c r="AK230" s="25">
        <v>7725</v>
      </c>
      <c r="AL230" s="33">
        <v>0.31540000000000001</v>
      </c>
      <c r="AM230" s="3" t="s">
        <v>2301</v>
      </c>
      <c r="AN230" s="12" t="s">
        <v>84</v>
      </c>
      <c r="AO230" s="12" t="s">
        <v>84</v>
      </c>
      <c r="AP230" s="12" t="str">
        <f>"156972114447182"</f>
        <v>156972114447182</v>
      </c>
      <c r="AQ230" s="12" t="s">
        <v>84</v>
      </c>
      <c r="AR230" s="12" t="s">
        <v>1030</v>
      </c>
      <c r="AS230" s="12" t="s">
        <v>6272</v>
      </c>
      <c r="AT230" s="12"/>
      <c r="AU230" s="12" t="s">
        <v>324</v>
      </c>
      <c r="AV230" s="12"/>
      <c r="AW230" s="12"/>
      <c r="AX230" s="12">
        <v>0</v>
      </c>
      <c r="AY230" s="12">
        <v>611</v>
      </c>
      <c r="AZ230" s="12">
        <v>0</v>
      </c>
      <c r="BA230" s="12" t="s">
        <v>1031</v>
      </c>
      <c r="BB230" s="12"/>
      <c r="BC230" s="12" t="s">
        <v>6273</v>
      </c>
      <c r="BD230" s="12"/>
      <c r="BE230" s="12" t="s">
        <v>2291</v>
      </c>
      <c r="BF230" s="12"/>
      <c r="BG230" s="12"/>
      <c r="BH230" s="12"/>
      <c r="BI230" s="12"/>
      <c r="BJ230" s="12"/>
      <c r="BK230" s="12"/>
      <c r="BL230" s="12" t="s">
        <v>2292</v>
      </c>
      <c r="BM230" s="12" t="s">
        <v>2292</v>
      </c>
      <c r="BN230" s="12" t="s">
        <v>2292</v>
      </c>
      <c r="BO230" s="12" t="s">
        <v>2292</v>
      </c>
      <c r="BP230" s="12"/>
      <c r="BQ230" s="12"/>
      <c r="BR230" s="12"/>
      <c r="BS230" s="12"/>
      <c r="BT230" s="12"/>
      <c r="BU230" s="12"/>
      <c r="BV230" s="12"/>
      <c r="BW230" s="12"/>
      <c r="BX230" s="12"/>
      <c r="BY230" s="13" t="s">
        <v>313</v>
      </c>
      <c r="BZ230" s="13" t="s">
        <v>6172</v>
      </c>
      <c r="CA230" s="13"/>
      <c r="CB230" s="13"/>
      <c r="CC230" s="13"/>
      <c r="CD230" s="13"/>
      <c r="CE230" s="13"/>
      <c r="CF230" s="13"/>
    </row>
    <row r="231" spans="1:84" ht="18.600000000000001" customHeight="1" x14ac:dyDescent="0.25">
      <c r="A231" s="60" t="s">
        <v>83</v>
      </c>
      <c r="B231" s="2" t="s">
        <v>314</v>
      </c>
      <c r="C231" s="3" t="s">
        <v>3506</v>
      </c>
      <c r="D231" s="12" t="s">
        <v>3442</v>
      </c>
      <c r="E231" s="12" t="s">
        <v>1045</v>
      </c>
      <c r="F231" s="12" t="s">
        <v>4249</v>
      </c>
      <c r="G231" s="25">
        <v>25612</v>
      </c>
      <c r="H231" s="25">
        <v>17712</v>
      </c>
      <c r="I231" s="25">
        <v>2320</v>
      </c>
      <c r="J231" s="25">
        <v>4649</v>
      </c>
      <c r="K231" s="25">
        <v>187733</v>
      </c>
      <c r="L231" s="25">
        <v>134733</v>
      </c>
      <c r="M231" s="25">
        <v>322466</v>
      </c>
      <c r="N231" s="31">
        <v>0.57999999999999996</v>
      </c>
      <c r="O231" s="25">
        <v>345</v>
      </c>
      <c r="P231" s="25">
        <v>113326</v>
      </c>
      <c r="Q231" s="25">
        <v>686</v>
      </c>
      <c r="R231" s="25">
        <v>49</v>
      </c>
      <c r="S231" s="25">
        <v>86</v>
      </c>
      <c r="T231" s="25">
        <v>37</v>
      </c>
      <c r="U231" s="61">
        <v>73</v>
      </c>
      <c r="V231" s="58">
        <v>8.0000000000000004E-4</v>
      </c>
      <c r="W231" s="33">
        <v>5.0000000000000001E-4</v>
      </c>
      <c r="X231" s="33">
        <v>4.0000000000000002E-4</v>
      </c>
      <c r="Y231" s="33">
        <v>2.0000000000000001E-4</v>
      </c>
      <c r="Z231" s="33">
        <v>2.2000000000000001E-3</v>
      </c>
      <c r="AA231" s="33">
        <v>2.0000000000000001E-4</v>
      </c>
      <c r="AB231" s="25">
        <v>1785</v>
      </c>
      <c r="AC231" s="25">
        <v>1039</v>
      </c>
      <c r="AD231" s="25">
        <v>328</v>
      </c>
      <c r="AE231" s="25">
        <v>33</v>
      </c>
      <c r="AF231" s="25">
        <v>378</v>
      </c>
      <c r="AG231" s="25">
        <v>6</v>
      </c>
      <c r="AH231" s="25">
        <v>1</v>
      </c>
      <c r="AI231" s="12">
        <v>4.07</v>
      </c>
      <c r="AJ231" s="25">
        <v>17444</v>
      </c>
      <c r="AK231" s="25">
        <v>1901</v>
      </c>
      <c r="AL231" s="33">
        <v>0.12230000000000001</v>
      </c>
      <c r="AM231" s="3" t="s">
        <v>3506</v>
      </c>
      <c r="AN231" s="12" t="s">
        <v>1045</v>
      </c>
      <c r="AO231" s="12" t="s">
        <v>1045</v>
      </c>
      <c r="AP231" s="12" t="str">
        <f>"486286474728213"</f>
        <v>486286474728213</v>
      </c>
      <c r="AQ231" s="12" t="s">
        <v>3442</v>
      </c>
      <c r="AR231" s="12" t="s">
        <v>5947</v>
      </c>
      <c r="AS231" s="12" t="s">
        <v>2833</v>
      </c>
      <c r="AT231" s="12"/>
      <c r="AU231" s="12" t="s">
        <v>358</v>
      </c>
      <c r="AV231" s="12"/>
      <c r="AW231" s="12">
        <v>2012</v>
      </c>
      <c r="AX231" s="12">
        <v>0</v>
      </c>
      <c r="AY231" s="12">
        <v>281</v>
      </c>
      <c r="AZ231" s="12">
        <v>0</v>
      </c>
      <c r="BA231" s="12" t="s">
        <v>3644</v>
      </c>
      <c r="BB231" s="12" t="s">
        <v>6997</v>
      </c>
      <c r="BC231" s="12" t="s">
        <v>6998</v>
      </c>
      <c r="BD231" s="12"/>
      <c r="BE231" s="12" t="s">
        <v>2291</v>
      </c>
      <c r="BF231" s="12"/>
      <c r="BG231" s="12"/>
      <c r="BH231" s="12"/>
      <c r="BI231" s="12"/>
      <c r="BJ231" s="12" t="s">
        <v>4973</v>
      </c>
      <c r="BK231" s="12" t="s">
        <v>6999</v>
      </c>
      <c r="BL231" s="12" t="s">
        <v>2292</v>
      </c>
      <c r="BM231" s="12" t="s">
        <v>2292</v>
      </c>
      <c r="BN231" s="12" t="s">
        <v>2292</v>
      </c>
      <c r="BO231" s="12" t="s">
        <v>2292</v>
      </c>
      <c r="BP231" s="12" t="s">
        <v>1046</v>
      </c>
      <c r="BQ231" s="12"/>
      <c r="BR231" s="12"/>
      <c r="BS231" s="12"/>
      <c r="BT231" s="12">
        <v>77172559338</v>
      </c>
      <c r="BU231" s="12"/>
      <c r="BV231" s="12"/>
      <c r="BW231" s="12" t="s">
        <v>1035</v>
      </c>
      <c r="BX231" s="12"/>
      <c r="BY231" s="13" t="s">
        <v>313</v>
      </c>
      <c r="BZ231" s="13" t="s">
        <v>6172</v>
      </c>
      <c r="CA231" s="13" t="s">
        <v>6170</v>
      </c>
      <c r="CB231" s="13" t="s">
        <v>6201</v>
      </c>
      <c r="CC231" s="13"/>
      <c r="CD231" s="13" t="s">
        <v>6198</v>
      </c>
      <c r="CE231" s="13"/>
      <c r="CF231" s="13"/>
    </row>
    <row r="232" spans="1:84" ht="18.600000000000001" customHeight="1" x14ac:dyDescent="0.25">
      <c r="A232" s="60" t="s">
        <v>83</v>
      </c>
      <c r="B232" s="2" t="s">
        <v>314</v>
      </c>
      <c r="C232" s="3" t="s">
        <v>2400</v>
      </c>
      <c r="D232" s="12" t="s">
        <v>3400</v>
      </c>
      <c r="E232" s="12" t="s">
        <v>1047</v>
      </c>
      <c r="F232" s="12" t="s">
        <v>3991</v>
      </c>
      <c r="G232" s="25">
        <v>0</v>
      </c>
      <c r="H232" s="25">
        <v>0</v>
      </c>
      <c r="I232" s="25">
        <v>0</v>
      </c>
      <c r="J232" s="25">
        <v>0</v>
      </c>
      <c r="K232" s="25">
        <v>0</v>
      </c>
      <c r="L232" s="25">
        <v>0</v>
      </c>
      <c r="M232" s="25">
        <v>0</v>
      </c>
      <c r="N232" s="31">
        <v>0</v>
      </c>
      <c r="O232" s="25">
        <v>0</v>
      </c>
      <c r="P232" s="25">
        <v>0</v>
      </c>
      <c r="Q232" s="25">
        <v>0</v>
      </c>
      <c r="R232" s="25">
        <v>0</v>
      </c>
      <c r="S232" s="25">
        <v>0</v>
      </c>
      <c r="T232" s="25">
        <v>0</v>
      </c>
      <c r="U232" s="61">
        <v>0</v>
      </c>
      <c r="V232" s="59"/>
      <c r="W232" s="12" t="s">
        <v>3926</v>
      </c>
      <c r="X232" s="12" t="s">
        <v>3926</v>
      </c>
      <c r="Y232" s="12" t="s">
        <v>3926</v>
      </c>
      <c r="Z232" s="12" t="s">
        <v>3926</v>
      </c>
      <c r="AA232" s="12" t="s">
        <v>3926</v>
      </c>
      <c r="AB232" s="25" t="s">
        <v>3927</v>
      </c>
      <c r="AC232" s="25">
        <v>0</v>
      </c>
      <c r="AD232" s="25">
        <v>0</v>
      </c>
      <c r="AE232" s="25">
        <v>0</v>
      </c>
      <c r="AF232" s="25">
        <v>0</v>
      </c>
      <c r="AG232" s="25">
        <v>0</v>
      </c>
      <c r="AH232" s="25">
        <v>0</v>
      </c>
      <c r="AI232" s="12">
        <v>0</v>
      </c>
      <c r="AJ232" s="25">
        <v>43</v>
      </c>
      <c r="AK232" s="25">
        <v>26</v>
      </c>
      <c r="AL232" s="33">
        <v>1.5294000000000001</v>
      </c>
      <c r="AM232" s="3" t="s">
        <v>2400</v>
      </c>
      <c r="AN232" s="12" t="s">
        <v>1047</v>
      </c>
      <c r="AO232" s="12" t="s">
        <v>1047</v>
      </c>
      <c r="AP232" s="12" t="str">
        <f>"805696909550375"</f>
        <v>805696909550375</v>
      </c>
      <c r="AQ232" s="12" t="s">
        <v>3400</v>
      </c>
      <c r="AR232" s="12" t="s">
        <v>1048</v>
      </c>
      <c r="AS232" s="12" t="s">
        <v>1049</v>
      </c>
      <c r="AT232" s="12"/>
      <c r="AU232" s="12" t="s">
        <v>324</v>
      </c>
      <c r="AV232" s="12"/>
      <c r="AW232" s="12"/>
      <c r="AX232" s="12">
        <v>0</v>
      </c>
      <c r="AY232" s="12">
        <v>1</v>
      </c>
      <c r="AZ232" s="12">
        <v>0</v>
      </c>
      <c r="BA232" s="12" t="s">
        <v>1050</v>
      </c>
      <c r="BB232" s="12"/>
      <c r="BC232" s="12" t="s">
        <v>6417</v>
      </c>
      <c r="BD232" s="12"/>
      <c r="BE232" s="12" t="s">
        <v>2291</v>
      </c>
      <c r="BF232" s="12"/>
      <c r="BG232" s="12"/>
      <c r="BH232" s="12"/>
      <c r="BI232" s="12"/>
      <c r="BJ232" s="12"/>
      <c r="BK232" s="12"/>
      <c r="BL232" s="12" t="s">
        <v>2292</v>
      </c>
      <c r="BM232" s="12" t="s">
        <v>2292</v>
      </c>
      <c r="BN232" s="12" t="s">
        <v>2292</v>
      </c>
      <c r="BO232" s="12" t="s">
        <v>2292</v>
      </c>
      <c r="BP232" s="12"/>
      <c r="BQ232" s="12"/>
      <c r="BR232" s="12"/>
      <c r="BS232" s="12"/>
      <c r="BT232" s="12"/>
      <c r="BU232" s="12"/>
      <c r="BV232" s="12"/>
      <c r="BW232" s="12"/>
      <c r="BX232" s="12"/>
      <c r="BY232" s="18" t="s">
        <v>344</v>
      </c>
      <c r="BZ232" s="13" t="s">
        <v>6170</v>
      </c>
      <c r="CA232" s="13" t="s">
        <v>6170</v>
      </c>
      <c r="CB232" s="13" t="s">
        <v>312</v>
      </c>
      <c r="CC232" s="13"/>
      <c r="CD232" s="13" t="s">
        <v>6198</v>
      </c>
      <c r="CE232" s="13"/>
      <c r="CF232" s="13"/>
    </row>
    <row r="233" spans="1:84" ht="18.600000000000001" customHeight="1" x14ac:dyDescent="0.25">
      <c r="A233" s="60" t="s">
        <v>83</v>
      </c>
      <c r="B233" s="2" t="s">
        <v>1036</v>
      </c>
      <c r="C233" s="3" t="s">
        <v>3125</v>
      </c>
      <c r="D233" s="12" t="s">
        <v>1051</v>
      </c>
      <c r="E233" s="12" t="s">
        <v>1052</v>
      </c>
      <c r="F233" s="12" t="s">
        <v>4140</v>
      </c>
      <c r="G233" s="25">
        <v>0</v>
      </c>
      <c r="H233" s="25">
        <v>0</v>
      </c>
      <c r="I233" s="25">
        <v>0</v>
      </c>
      <c r="J233" s="25">
        <v>0</v>
      </c>
      <c r="K233" s="25">
        <v>0</v>
      </c>
      <c r="L233" s="25">
        <v>0</v>
      </c>
      <c r="M233" s="25">
        <v>0</v>
      </c>
      <c r="N233" s="31">
        <v>0</v>
      </c>
      <c r="O233" s="25">
        <v>0</v>
      </c>
      <c r="P233" s="25">
        <v>0</v>
      </c>
      <c r="Q233" s="25">
        <v>0</v>
      </c>
      <c r="R233" s="25">
        <v>0</v>
      </c>
      <c r="S233" s="25">
        <v>0</v>
      </c>
      <c r="T233" s="25">
        <v>0</v>
      </c>
      <c r="U233" s="61">
        <v>0</v>
      </c>
      <c r="V233" s="59"/>
      <c r="W233" s="12" t="s">
        <v>3926</v>
      </c>
      <c r="X233" s="12" t="s">
        <v>3926</v>
      </c>
      <c r="Y233" s="12" t="s">
        <v>3926</v>
      </c>
      <c r="Z233" s="12" t="s">
        <v>3926</v>
      </c>
      <c r="AA233" s="12" t="s">
        <v>3926</v>
      </c>
      <c r="AB233" s="25" t="s">
        <v>3927</v>
      </c>
      <c r="AC233" s="25">
        <v>0</v>
      </c>
      <c r="AD233" s="25">
        <v>0</v>
      </c>
      <c r="AE233" s="25">
        <v>0</v>
      </c>
      <c r="AF233" s="25">
        <v>0</v>
      </c>
      <c r="AG233" s="25">
        <v>0</v>
      </c>
      <c r="AH233" s="25">
        <v>0</v>
      </c>
      <c r="AI233" s="12">
        <v>0</v>
      </c>
      <c r="AJ233" s="25">
        <v>640</v>
      </c>
      <c r="AK233" s="25">
        <v>-21</v>
      </c>
      <c r="AL233" s="33">
        <v>-3.1800000000000002E-2</v>
      </c>
      <c r="AM233" s="3" t="s">
        <v>3125</v>
      </c>
      <c r="AN233" s="12" t="s">
        <v>1052</v>
      </c>
      <c r="AO233" s="12" t="s">
        <v>1052</v>
      </c>
      <c r="AP233" s="12" t="str">
        <f>"201552226536475"</f>
        <v>201552226536475</v>
      </c>
      <c r="AQ233" s="12" t="s">
        <v>1051</v>
      </c>
      <c r="AR233" s="12" t="s">
        <v>3597</v>
      </c>
      <c r="AS233" s="12"/>
      <c r="AT233" s="12"/>
      <c r="AU233" s="12" t="s">
        <v>309</v>
      </c>
      <c r="AV233" s="12"/>
      <c r="AW233" s="12"/>
      <c r="AX233" s="12">
        <v>0</v>
      </c>
      <c r="AY233" s="12">
        <v>1</v>
      </c>
      <c r="AZ233" s="12">
        <v>0</v>
      </c>
      <c r="BA233" s="12" t="s">
        <v>1053</v>
      </c>
      <c r="BB233" s="12" t="s">
        <v>6745</v>
      </c>
      <c r="BC233" s="12"/>
      <c r="BD233" s="12"/>
      <c r="BE233" s="12" t="s">
        <v>2291</v>
      </c>
      <c r="BF233" s="12"/>
      <c r="BG233" s="12"/>
      <c r="BH233" s="12"/>
      <c r="BI233" s="12"/>
      <c r="BJ233" s="12"/>
      <c r="BK233" s="12"/>
      <c r="BL233" s="12" t="s">
        <v>2292</v>
      </c>
      <c r="BM233" s="12" t="s">
        <v>2292</v>
      </c>
      <c r="BN233" s="12" t="s">
        <v>2292</v>
      </c>
      <c r="BO233" s="12" t="s">
        <v>2292</v>
      </c>
      <c r="BP233" s="12"/>
      <c r="BQ233" s="12"/>
      <c r="BR233" s="12"/>
      <c r="BS233" s="12"/>
      <c r="BT233" s="12"/>
      <c r="BU233" s="12"/>
      <c r="BV233" s="12"/>
      <c r="BW233" s="12" t="s">
        <v>3596</v>
      </c>
      <c r="BX233" s="12"/>
      <c r="BY233" s="15" t="s">
        <v>370</v>
      </c>
      <c r="BZ233" s="13" t="s">
        <v>6174</v>
      </c>
      <c r="CA233" s="13"/>
      <c r="CB233" s="13"/>
      <c r="CC233" s="13"/>
      <c r="CD233" s="13"/>
      <c r="CE233" s="13" t="s">
        <v>6184</v>
      </c>
      <c r="CF233" s="13"/>
    </row>
    <row r="234" spans="1:84" ht="18.600000000000001" customHeight="1" x14ac:dyDescent="0.25">
      <c r="A234" s="60" t="s">
        <v>83</v>
      </c>
      <c r="B234" s="2" t="s">
        <v>1036</v>
      </c>
      <c r="C234" s="3" t="s">
        <v>3483</v>
      </c>
      <c r="D234" s="12" t="s">
        <v>1032</v>
      </c>
      <c r="E234" s="12" t="s">
        <v>1033</v>
      </c>
      <c r="F234" s="12" t="s">
        <v>4139</v>
      </c>
      <c r="G234" s="25">
        <v>0</v>
      </c>
      <c r="H234" s="25">
        <v>0</v>
      </c>
      <c r="I234" s="25">
        <v>0</v>
      </c>
      <c r="J234" s="25">
        <v>0</v>
      </c>
      <c r="K234" s="25">
        <v>0</v>
      </c>
      <c r="L234" s="25">
        <v>0</v>
      </c>
      <c r="M234" s="25">
        <v>0</v>
      </c>
      <c r="N234" s="31">
        <v>0</v>
      </c>
      <c r="O234" s="25">
        <v>0</v>
      </c>
      <c r="P234" s="25">
        <v>0</v>
      </c>
      <c r="Q234" s="25">
        <v>0</v>
      </c>
      <c r="R234" s="25">
        <v>0</v>
      </c>
      <c r="S234" s="25">
        <v>0</v>
      </c>
      <c r="T234" s="25">
        <v>0</v>
      </c>
      <c r="U234" s="61">
        <v>0</v>
      </c>
      <c r="V234" s="59"/>
      <c r="W234" s="12" t="s">
        <v>3926</v>
      </c>
      <c r="X234" s="12" t="s">
        <v>3926</v>
      </c>
      <c r="Y234" s="12" t="s">
        <v>3926</v>
      </c>
      <c r="Z234" s="12" t="s">
        <v>3926</v>
      </c>
      <c r="AA234" s="12" t="s">
        <v>3926</v>
      </c>
      <c r="AB234" s="25" t="s">
        <v>3927</v>
      </c>
      <c r="AC234" s="25">
        <v>0</v>
      </c>
      <c r="AD234" s="25">
        <v>0</v>
      </c>
      <c r="AE234" s="25">
        <v>0</v>
      </c>
      <c r="AF234" s="25">
        <v>0</v>
      </c>
      <c r="AG234" s="25">
        <v>0</v>
      </c>
      <c r="AH234" s="25">
        <v>0</v>
      </c>
      <c r="AI234" s="12">
        <v>0</v>
      </c>
      <c r="AJ234" s="25">
        <v>6126</v>
      </c>
      <c r="AK234" s="25">
        <v>134</v>
      </c>
      <c r="AL234" s="33">
        <v>2.24E-2</v>
      </c>
      <c r="AM234" s="3" t="s">
        <v>3483</v>
      </c>
      <c r="AN234" s="12" t="s">
        <v>3149</v>
      </c>
      <c r="AO234" s="12" t="s">
        <v>1033</v>
      </c>
      <c r="AP234" s="12" t="str">
        <f>"197723140250623"</f>
        <v>197723140250623</v>
      </c>
      <c r="AQ234" s="12" t="s">
        <v>1032</v>
      </c>
      <c r="AR234" s="12" t="s">
        <v>3486</v>
      </c>
      <c r="AS234" s="12"/>
      <c r="AT234" s="12"/>
      <c r="AU234" s="12" t="s">
        <v>309</v>
      </c>
      <c r="AV234" s="12"/>
      <c r="AW234" s="12"/>
      <c r="AX234" s="12">
        <v>0</v>
      </c>
      <c r="AY234" s="12">
        <v>3</v>
      </c>
      <c r="AZ234" s="12">
        <v>0</v>
      </c>
      <c r="BA234" s="12" t="s">
        <v>1034</v>
      </c>
      <c r="BB234" s="12" t="s">
        <v>6745</v>
      </c>
      <c r="BC234" s="12"/>
      <c r="BD234" s="12"/>
      <c r="BE234" s="12" t="s">
        <v>2291</v>
      </c>
      <c r="BF234" s="12"/>
      <c r="BG234" s="12"/>
      <c r="BH234" s="12"/>
      <c r="BI234" s="12"/>
      <c r="BJ234" s="12"/>
      <c r="BK234" s="12"/>
      <c r="BL234" s="12" t="s">
        <v>2292</v>
      </c>
      <c r="BM234" s="12" t="s">
        <v>2292</v>
      </c>
      <c r="BN234" s="12" t="s">
        <v>2292</v>
      </c>
      <c r="BO234" s="12" t="s">
        <v>2292</v>
      </c>
      <c r="BP234" s="12"/>
      <c r="BQ234" s="12"/>
      <c r="BR234" s="12"/>
      <c r="BS234" s="12"/>
      <c r="BT234" s="12"/>
      <c r="BU234" s="12"/>
      <c r="BV234" s="12"/>
      <c r="BW234" s="12" t="s">
        <v>3596</v>
      </c>
      <c r="BX234" s="12"/>
      <c r="BY234" s="18" t="s">
        <v>344</v>
      </c>
      <c r="BZ234" s="13" t="s">
        <v>6174</v>
      </c>
      <c r="CA234" s="13"/>
      <c r="CB234" s="13"/>
      <c r="CC234" s="13"/>
      <c r="CD234" s="13"/>
      <c r="CE234" s="13" t="s">
        <v>6184</v>
      </c>
      <c r="CF234" s="13"/>
    </row>
    <row r="235" spans="1:84" ht="18.600000000000001" customHeight="1" x14ac:dyDescent="0.25">
      <c r="A235" s="60" t="s">
        <v>83</v>
      </c>
      <c r="B235" s="2" t="s">
        <v>315</v>
      </c>
      <c r="C235" s="3" t="s">
        <v>3508</v>
      </c>
      <c r="D235" s="12" t="s">
        <v>3669</v>
      </c>
      <c r="E235" s="12" t="s">
        <v>3668</v>
      </c>
      <c r="F235" s="12" t="s">
        <v>4323</v>
      </c>
      <c r="G235" s="25">
        <v>3736</v>
      </c>
      <c r="H235" s="25">
        <v>2176</v>
      </c>
      <c r="I235" s="25">
        <v>358</v>
      </c>
      <c r="J235" s="25">
        <v>872</v>
      </c>
      <c r="K235" s="25">
        <v>46149</v>
      </c>
      <c r="L235" s="25">
        <v>8857</v>
      </c>
      <c r="M235" s="25">
        <v>55006</v>
      </c>
      <c r="N235" s="31">
        <v>0.84</v>
      </c>
      <c r="O235" s="25">
        <v>0</v>
      </c>
      <c r="P235" s="25">
        <v>2447</v>
      </c>
      <c r="Q235" s="25">
        <v>298</v>
      </c>
      <c r="R235" s="25">
        <v>19</v>
      </c>
      <c r="S235" s="25">
        <v>8</v>
      </c>
      <c r="T235" s="25">
        <v>1</v>
      </c>
      <c r="U235" s="61">
        <v>4</v>
      </c>
      <c r="V235" s="58">
        <v>1.8E-3</v>
      </c>
      <c r="W235" s="33">
        <v>0</v>
      </c>
      <c r="X235" s="33">
        <v>0</v>
      </c>
      <c r="Y235" s="33">
        <v>0</v>
      </c>
      <c r="Z235" s="33">
        <v>3.7000000000000002E-3</v>
      </c>
      <c r="AA235" s="12" t="s">
        <v>3926</v>
      </c>
      <c r="AB235" s="25">
        <v>2485</v>
      </c>
      <c r="AC235" s="25">
        <v>84</v>
      </c>
      <c r="AD235" s="25">
        <v>1295</v>
      </c>
      <c r="AE235" s="25">
        <v>4</v>
      </c>
      <c r="AF235" s="25">
        <v>1102</v>
      </c>
      <c r="AG235" s="25">
        <v>0</v>
      </c>
      <c r="AH235" s="25">
        <v>0</v>
      </c>
      <c r="AI235" s="12">
        <v>5.66</v>
      </c>
      <c r="AJ235" s="25">
        <v>756</v>
      </c>
      <c r="AK235" s="25">
        <v>478</v>
      </c>
      <c r="AL235" s="33">
        <v>1.7194</v>
      </c>
      <c r="AM235" s="3" t="s">
        <v>3508</v>
      </c>
      <c r="AN235" s="12" t="s">
        <v>3668</v>
      </c>
      <c r="AO235" s="12" t="s">
        <v>3668</v>
      </c>
      <c r="AP235" s="12" t="str">
        <f>"426663214196857"</f>
        <v>426663214196857</v>
      </c>
      <c r="AQ235" s="12" t="s">
        <v>3669</v>
      </c>
      <c r="AR235" s="12" t="s">
        <v>3670</v>
      </c>
      <c r="AS235" s="12" t="s">
        <v>3671</v>
      </c>
      <c r="AT235" s="12"/>
      <c r="AU235" s="12" t="s">
        <v>1111</v>
      </c>
      <c r="AV235" s="12"/>
      <c r="AW235" s="12"/>
      <c r="AX235" s="12">
        <v>0</v>
      </c>
      <c r="AY235" s="12">
        <v>25</v>
      </c>
      <c r="AZ235" s="12">
        <v>0</v>
      </c>
      <c r="BA235" s="12" t="s">
        <v>3672</v>
      </c>
      <c r="BB235" s="12" t="s">
        <v>7159</v>
      </c>
      <c r="BC235" s="12" t="s">
        <v>7160</v>
      </c>
      <c r="BD235" s="12"/>
      <c r="BE235" s="12" t="s">
        <v>2291</v>
      </c>
      <c r="BF235" s="12"/>
      <c r="BG235" s="12"/>
      <c r="BH235" s="12"/>
      <c r="BI235" s="12"/>
      <c r="BJ235" s="12"/>
      <c r="BK235" s="12"/>
      <c r="BL235" s="12" t="s">
        <v>2292</v>
      </c>
      <c r="BM235" s="12" t="s">
        <v>2292</v>
      </c>
      <c r="BN235" s="12" t="s">
        <v>2292</v>
      </c>
      <c r="BO235" s="12" t="s">
        <v>2291</v>
      </c>
      <c r="BP235" s="12"/>
      <c r="BQ235" s="12"/>
      <c r="BR235" s="12"/>
      <c r="BS235" s="12"/>
      <c r="BT235" s="12"/>
      <c r="BU235" s="12"/>
      <c r="BV235" s="12"/>
      <c r="BW235" s="12" t="s">
        <v>3673</v>
      </c>
      <c r="BX235" s="12"/>
      <c r="BY235" s="13" t="s">
        <v>313</v>
      </c>
      <c r="BZ235" s="13" t="s">
        <v>6170</v>
      </c>
      <c r="CA235" s="13" t="s">
        <v>6170</v>
      </c>
      <c r="CB235" s="13" t="s">
        <v>312</v>
      </c>
      <c r="CC235" s="13"/>
      <c r="CD235" s="13" t="s">
        <v>6198</v>
      </c>
      <c r="CE235" s="13"/>
      <c r="CF235" s="13"/>
    </row>
    <row r="236" spans="1:84" ht="18.600000000000001" customHeight="1" x14ac:dyDescent="0.25">
      <c r="A236" s="60" t="s">
        <v>83</v>
      </c>
      <c r="B236" s="2" t="s">
        <v>315</v>
      </c>
      <c r="C236" s="3" t="s">
        <v>3712</v>
      </c>
      <c r="D236" s="12" t="s">
        <v>3516</v>
      </c>
      <c r="E236" s="12" t="s">
        <v>3674</v>
      </c>
      <c r="F236" s="12" t="s">
        <v>4324</v>
      </c>
      <c r="G236" s="25">
        <v>18413</v>
      </c>
      <c r="H236" s="25">
        <v>11288</v>
      </c>
      <c r="I236" s="25">
        <v>2874</v>
      </c>
      <c r="J236" s="25">
        <v>3173</v>
      </c>
      <c r="K236" s="25">
        <v>311133</v>
      </c>
      <c r="L236" s="25">
        <v>51598</v>
      </c>
      <c r="M236" s="25">
        <v>362731</v>
      </c>
      <c r="N236" s="31">
        <v>0.86</v>
      </c>
      <c r="O236" s="25">
        <v>2162</v>
      </c>
      <c r="P236" s="25">
        <v>34138</v>
      </c>
      <c r="Q236" s="25">
        <v>776</v>
      </c>
      <c r="R236" s="25">
        <v>69</v>
      </c>
      <c r="S236" s="25">
        <v>117</v>
      </c>
      <c r="T236" s="25">
        <v>18</v>
      </c>
      <c r="U236" s="61">
        <v>98</v>
      </c>
      <c r="V236" s="58">
        <v>1.6999999999999999E-3</v>
      </c>
      <c r="W236" s="33">
        <v>4.3E-3</v>
      </c>
      <c r="X236" s="33">
        <v>8.9999999999999998E-4</v>
      </c>
      <c r="Y236" s="33">
        <v>1.1000000000000001E-3</v>
      </c>
      <c r="Z236" s="33">
        <v>2.2000000000000001E-3</v>
      </c>
      <c r="AA236" s="12" t="s">
        <v>3926</v>
      </c>
      <c r="AB236" s="25">
        <v>3048</v>
      </c>
      <c r="AC236" s="25">
        <v>100</v>
      </c>
      <c r="AD236" s="25">
        <v>1676</v>
      </c>
      <c r="AE236" s="25">
        <v>4</v>
      </c>
      <c r="AF236" s="25">
        <v>1237</v>
      </c>
      <c r="AG236" s="25">
        <v>31</v>
      </c>
      <c r="AH236" s="25">
        <v>0</v>
      </c>
      <c r="AI236" s="12">
        <v>6.94</v>
      </c>
      <c r="AJ236" s="25">
        <v>4373</v>
      </c>
      <c r="AK236" s="25">
        <v>1752</v>
      </c>
      <c r="AL236" s="33">
        <v>0.66839999999999999</v>
      </c>
      <c r="AM236" s="3" t="s">
        <v>3712</v>
      </c>
      <c r="AN236" s="12" t="s">
        <v>3674</v>
      </c>
      <c r="AO236" s="12" t="s">
        <v>3674</v>
      </c>
      <c r="AP236" s="12" t="str">
        <f>"1031530720199132"</f>
        <v>1031530720199132</v>
      </c>
      <c r="AQ236" s="12" t="s">
        <v>3516</v>
      </c>
      <c r="AR236" s="12" t="s">
        <v>3675</v>
      </c>
      <c r="AS236" s="12" t="s">
        <v>3676</v>
      </c>
      <c r="AT236" s="12"/>
      <c r="AU236" s="12" t="s">
        <v>5257</v>
      </c>
      <c r="AV236" s="12" t="s">
        <v>7161</v>
      </c>
      <c r="AW236" s="12"/>
      <c r="AX236" s="12">
        <v>2</v>
      </c>
      <c r="AY236" s="12">
        <v>828</v>
      </c>
      <c r="AZ236" s="12">
        <v>2</v>
      </c>
      <c r="BA236" s="12" t="s">
        <v>3677</v>
      </c>
      <c r="BB236" s="12" t="s">
        <v>7162</v>
      </c>
      <c r="BC236" s="12" t="s">
        <v>7163</v>
      </c>
      <c r="BD236" s="12"/>
      <c r="BE236" s="12" t="s">
        <v>2291</v>
      </c>
      <c r="BF236" s="12"/>
      <c r="BG236" s="12"/>
      <c r="BH236" s="12"/>
      <c r="BI236" s="12"/>
      <c r="BJ236" s="12"/>
      <c r="BK236" s="12"/>
      <c r="BL236" s="12" t="s">
        <v>2292</v>
      </c>
      <c r="BM236" s="12" t="s">
        <v>2292</v>
      </c>
      <c r="BN236" s="12" t="s">
        <v>2292</v>
      </c>
      <c r="BO236" s="12" t="s">
        <v>2291</v>
      </c>
      <c r="BP236" s="12"/>
      <c r="BQ236" s="12"/>
      <c r="BR236" s="12"/>
      <c r="BS236" s="12"/>
      <c r="BT236" s="12"/>
      <c r="BU236" s="12" t="s">
        <v>326</v>
      </c>
      <c r="BV236" s="12"/>
      <c r="BW236" s="12" t="s">
        <v>3596</v>
      </c>
      <c r="BX236" s="12"/>
      <c r="BY236" s="13" t="s">
        <v>313</v>
      </c>
      <c r="BZ236" s="13" t="s">
        <v>312</v>
      </c>
      <c r="CA236" s="13" t="s">
        <v>6170</v>
      </c>
      <c r="CB236" s="13" t="s">
        <v>6197</v>
      </c>
      <c r="CC236" s="13"/>
      <c r="CD236" s="13" t="s">
        <v>6198</v>
      </c>
      <c r="CE236" s="13"/>
      <c r="CF236" s="13"/>
    </row>
    <row r="237" spans="1:84" ht="18.600000000000001" customHeight="1" x14ac:dyDescent="0.25">
      <c r="A237" s="60" t="s">
        <v>83</v>
      </c>
      <c r="B237" s="2" t="s">
        <v>315</v>
      </c>
      <c r="C237" s="3" t="s">
        <v>2928</v>
      </c>
      <c r="D237" s="12" t="s">
        <v>3678</v>
      </c>
      <c r="E237" s="12" t="s">
        <v>1037</v>
      </c>
      <c r="F237" s="12" t="s">
        <v>4325</v>
      </c>
      <c r="G237" s="25">
        <v>137371</v>
      </c>
      <c r="H237" s="25">
        <v>79333</v>
      </c>
      <c r="I237" s="25">
        <v>19319</v>
      </c>
      <c r="J237" s="25">
        <v>30398</v>
      </c>
      <c r="K237" s="25">
        <v>2237821</v>
      </c>
      <c r="L237" s="25">
        <v>572641</v>
      </c>
      <c r="M237" s="25">
        <v>2810462</v>
      </c>
      <c r="N237" s="31">
        <v>0.8</v>
      </c>
      <c r="O237" s="25">
        <v>1557</v>
      </c>
      <c r="P237" s="25">
        <v>338927</v>
      </c>
      <c r="Q237" s="25">
        <v>4741</v>
      </c>
      <c r="R237" s="25">
        <v>667</v>
      </c>
      <c r="S237" s="25">
        <v>1589</v>
      </c>
      <c r="T237" s="25">
        <v>282</v>
      </c>
      <c r="U237" s="61">
        <v>1042</v>
      </c>
      <c r="V237" s="58">
        <v>2.5000000000000001E-3</v>
      </c>
      <c r="W237" s="33">
        <v>1.5E-3</v>
      </c>
      <c r="X237" s="33">
        <v>1.9E-3</v>
      </c>
      <c r="Y237" s="33">
        <v>5.0000000000000001E-4</v>
      </c>
      <c r="Z237" s="33">
        <v>3.5000000000000001E-3</v>
      </c>
      <c r="AA237" s="33">
        <v>2.0000000000000001E-4</v>
      </c>
      <c r="AB237" s="25">
        <v>3447</v>
      </c>
      <c r="AC237" s="25">
        <v>190</v>
      </c>
      <c r="AD237" s="25">
        <v>1806</v>
      </c>
      <c r="AE237" s="25">
        <v>5</v>
      </c>
      <c r="AF237" s="25">
        <v>1441</v>
      </c>
      <c r="AG237" s="25">
        <v>4</v>
      </c>
      <c r="AH237" s="25">
        <v>1</v>
      </c>
      <c r="AI237" s="12">
        <v>7.85</v>
      </c>
      <c r="AJ237" s="25">
        <v>20284</v>
      </c>
      <c r="AK237" s="25">
        <v>10521</v>
      </c>
      <c r="AL237" s="33">
        <v>1.0775999999999999</v>
      </c>
      <c r="AM237" s="3" t="s">
        <v>2928</v>
      </c>
      <c r="AN237" s="12" t="s">
        <v>1037</v>
      </c>
      <c r="AO237" s="12" t="s">
        <v>1037</v>
      </c>
      <c r="AP237" s="12" t="str">
        <f>"1796040883955530"</f>
        <v>1796040883955530</v>
      </c>
      <c r="AQ237" s="12" t="s">
        <v>3678</v>
      </c>
      <c r="AR237" s="12" t="s">
        <v>5436</v>
      </c>
      <c r="AS237" s="12" t="s">
        <v>3679</v>
      </c>
      <c r="AT237" s="12"/>
      <c r="AU237" s="12" t="s">
        <v>4561</v>
      </c>
      <c r="AV237" s="12" t="s">
        <v>7164</v>
      </c>
      <c r="AW237" s="12"/>
      <c r="AX237" s="12">
        <v>4</v>
      </c>
      <c r="AY237" s="12">
        <v>1141</v>
      </c>
      <c r="AZ237" s="12">
        <v>4</v>
      </c>
      <c r="BA237" s="12" t="s">
        <v>1038</v>
      </c>
      <c r="BB237" s="12" t="s">
        <v>7165</v>
      </c>
      <c r="BC237" s="12" t="s">
        <v>7166</v>
      </c>
      <c r="BD237" s="12"/>
      <c r="BE237" s="12" t="s">
        <v>2291</v>
      </c>
      <c r="BF237" s="12"/>
      <c r="BG237" s="12"/>
      <c r="BH237" s="12"/>
      <c r="BI237" s="12" t="s">
        <v>4937</v>
      </c>
      <c r="BJ237" s="12"/>
      <c r="BK237" s="12"/>
      <c r="BL237" s="12" t="s">
        <v>2292</v>
      </c>
      <c r="BM237" s="12" t="s">
        <v>2292</v>
      </c>
      <c r="BN237" s="12" t="s">
        <v>2292</v>
      </c>
      <c r="BO237" s="12" t="s">
        <v>2291</v>
      </c>
      <c r="BP237" s="12"/>
      <c r="BQ237" s="12"/>
      <c r="BR237" s="12"/>
      <c r="BS237" s="12"/>
      <c r="BT237" s="12"/>
      <c r="BU237" s="12" t="s">
        <v>326</v>
      </c>
      <c r="BV237" s="12"/>
      <c r="BW237" s="12" t="s">
        <v>3680</v>
      </c>
      <c r="BX237" s="12"/>
      <c r="BY237" s="13" t="s">
        <v>313</v>
      </c>
      <c r="BZ237" s="13" t="s">
        <v>312</v>
      </c>
      <c r="CA237" s="13"/>
      <c r="CB237" s="13"/>
      <c r="CC237" s="13"/>
      <c r="CD237" s="13"/>
      <c r="CE237" s="13"/>
      <c r="CF237" s="13"/>
    </row>
    <row r="238" spans="1:84" ht="18.600000000000001" customHeight="1" x14ac:dyDescent="0.25">
      <c r="A238" s="60" t="s">
        <v>83</v>
      </c>
      <c r="B238" s="2" t="s">
        <v>335</v>
      </c>
      <c r="C238" s="3" t="s">
        <v>2634</v>
      </c>
      <c r="D238" s="12" t="s">
        <v>1039</v>
      </c>
      <c r="E238" s="12" t="s">
        <v>1040</v>
      </c>
      <c r="F238" s="12" t="s">
        <v>4131</v>
      </c>
      <c r="G238" s="25">
        <v>41805</v>
      </c>
      <c r="H238" s="25">
        <v>33473</v>
      </c>
      <c r="I238" s="25">
        <v>898</v>
      </c>
      <c r="J238" s="25">
        <v>6309</v>
      </c>
      <c r="K238" s="25">
        <v>18659</v>
      </c>
      <c r="L238" s="25">
        <v>14315</v>
      </c>
      <c r="M238" s="25">
        <v>32974</v>
      </c>
      <c r="N238" s="31">
        <v>0.56999999999999995</v>
      </c>
      <c r="O238" s="25">
        <v>16267</v>
      </c>
      <c r="P238" s="25">
        <v>486</v>
      </c>
      <c r="Q238" s="25">
        <v>778</v>
      </c>
      <c r="R238" s="25">
        <v>83</v>
      </c>
      <c r="S238" s="25">
        <v>28</v>
      </c>
      <c r="T238" s="25">
        <v>225</v>
      </c>
      <c r="U238" s="61">
        <v>11</v>
      </c>
      <c r="V238" s="58">
        <v>3.3999999999999998E-3</v>
      </c>
      <c r="W238" s="33">
        <v>3.8E-3</v>
      </c>
      <c r="X238" s="33">
        <v>2.5999999999999999E-3</v>
      </c>
      <c r="Y238" s="33">
        <v>3.0999999999999999E-3</v>
      </c>
      <c r="Z238" s="33">
        <v>3.8999999999999998E-3</v>
      </c>
      <c r="AA238" s="33">
        <v>2.8E-3</v>
      </c>
      <c r="AB238" s="25">
        <v>1138</v>
      </c>
      <c r="AC238" s="25">
        <v>761</v>
      </c>
      <c r="AD238" s="25">
        <v>247</v>
      </c>
      <c r="AE238" s="25">
        <v>18</v>
      </c>
      <c r="AF238" s="25">
        <v>50</v>
      </c>
      <c r="AG238" s="25">
        <v>38</v>
      </c>
      <c r="AH238" s="25">
        <v>24</v>
      </c>
      <c r="AI238" s="12">
        <v>2.59</v>
      </c>
      <c r="AJ238" s="25">
        <v>11434</v>
      </c>
      <c r="AK238" s="25">
        <v>1865</v>
      </c>
      <c r="AL238" s="33">
        <v>0.19489999999999999</v>
      </c>
      <c r="AM238" s="3" t="s">
        <v>2634</v>
      </c>
      <c r="AN238" s="12" t="s">
        <v>1040</v>
      </c>
      <c r="AO238" s="12" t="s">
        <v>1040</v>
      </c>
      <c r="AP238" s="12" t="str">
        <f>"172187716250472"</f>
        <v>172187716250472</v>
      </c>
      <c r="AQ238" s="12" t="s">
        <v>1039</v>
      </c>
      <c r="AR238" s="12" t="s">
        <v>1041</v>
      </c>
      <c r="AS238" s="12" t="s">
        <v>2635</v>
      </c>
      <c r="AT238" s="12"/>
      <c r="AU238" s="12" t="s">
        <v>324</v>
      </c>
      <c r="AV238" s="12" t="s">
        <v>5873</v>
      </c>
      <c r="AW238" s="12" t="s">
        <v>2636</v>
      </c>
      <c r="AX238" s="12">
        <v>103</v>
      </c>
      <c r="AY238" s="12">
        <v>531</v>
      </c>
      <c r="AZ238" s="12">
        <v>103</v>
      </c>
      <c r="BA238" s="12" t="s">
        <v>1042</v>
      </c>
      <c r="BB238" s="12" t="s">
        <v>6730</v>
      </c>
      <c r="BC238" s="12" t="s">
        <v>6731</v>
      </c>
      <c r="BD238" s="12"/>
      <c r="BE238" s="12" t="s">
        <v>2291</v>
      </c>
      <c r="BF238" s="12"/>
      <c r="BG238" s="12"/>
      <c r="BH238" s="12"/>
      <c r="BI238" s="12" t="s">
        <v>2637</v>
      </c>
      <c r="BJ238" s="12" t="s">
        <v>2638</v>
      </c>
      <c r="BK238" s="12" t="s">
        <v>6732</v>
      </c>
      <c r="BL238" s="12" t="s">
        <v>2292</v>
      </c>
      <c r="BM238" s="12" t="s">
        <v>2292</v>
      </c>
      <c r="BN238" s="12" t="s">
        <v>2292</v>
      </c>
      <c r="BO238" s="12" t="s">
        <v>2291</v>
      </c>
      <c r="BP238" s="12" t="s">
        <v>1043</v>
      </c>
      <c r="BQ238" s="12"/>
      <c r="BR238" s="12"/>
      <c r="BS238" s="12"/>
      <c r="BT238" s="12" t="s">
        <v>2639</v>
      </c>
      <c r="BU238" s="12" t="s">
        <v>3750</v>
      </c>
      <c r="BV238" s="12"/>
      <c r="BW238" s="12" t="s">
        <v>1044</v>
      </c>
      <c r="BX238" s="12"/>
      <c r="BY238" s="13" t="s">
        <v>313</v>
      </c>
      <c r="BZ238" s="13" t="s">
        <v>6170</v>
      </c>
      <c r="CA238" s="13" t="s">
        <v>6170</v>
      </c>
      <c r="CB238" s="13" t="s">
        <v>6197</v>
      </c>
      <c r="CC238" s="13"/>
      <c r="CD238" s="13" t="s">
        <v>6198</v>
      </c>
      <c r="CE238" s="13"/>
      <c r="CF238" s="13"/>
    </row>
    <row r="239" spans="1:84" ht="18.600000000000001" customHeight="1" x14ac:dyDescent="0.25">
      <c r="A239" s="60" t="s">
        <v>85</v>
      </c>
      <c r="B239" s="2" t="s">
        <v>315</v>
      </c>
      <c r="C239" s="4" t="s">
        <v>3860</v>
      </c>
      <c r="D239" s="12" t="s">
        <v>4029</v>
      </c>
      <c r="E239" s="12" t="s">
        <v>4030</v>
      </c>
      <c r="F239" s="12" t="s">
        <v>4031</v>
      </c>
      <c r="G239" s="25">
        <v>415</v>
      </c>
      <c r="H239" s="25">
        <v>345</v>
      </c>
      <c r="I239" s="25">
        <v>53</v>
      </c>
      <c r="J239" s="25">
        <v>11</v>
      </c>
      <c r="K239" s="25">
        <v>0</v>
      </c>
      <c r="L239" s="25">
        <v>0</v>
      </c>
      <c r="M239" s="25">
        <v>0</v>
      </c>
      <c r="N239" s="31">
        <v>0</v>
      </c>
      <c r="O239" s="25">
        <v>0</v>
      </c>
      <c r="P239" s="25">
        <v>0</v>
      </c>
      <c r="Q239" s="25">
        <v>4</v>
      </c>
      <c r="R239" s="25">
        <v>0</v>
      </c>
      <c r="S239" s="25">
        <v>0</v>
      </c>
      <c r="T239" s="25">
        <v>1</v>
      </c>
      <c r="U239" s="61">
        <v>1</v>
      </c>
      <c r="V239" s="58">
        <v>1E-4</v>
      </c>
      <c r="W239" s="12" t="s">
        <v>3926</v>
      </c>
      <c r="X239" s="12" t="s">
        <v>3926</v>
      </c>
      <c r="Y239" s="33">
        <v>1E-4</v>
      </c>
      <c r="Z239" s="12" t="s">
        <v>3926</v>
      </c>
      <c r="AA239" s="12" t="s">
        <v>3926</v>
      </c>
      <c r="AB239" s="25">
        <v>42</v>
      </c>
      <c r="AC239" s="25">
        <v>0</v>
      </c>
      <c r="AD239" s="25">
        <v>0</v>
      </c>
      <c r="AE239" s="25">
        <v>42</v>
      </c>
      <c r="AF239" s="25">
        <v>0</v>
      </c>
      <c r="AG239" s="25">
        <v>0</v>
      </c>
      <c r="AH239" s="25">
        <v>0</v>
      </c>
      <c r="AI239" s="12">
        <v>0.1</v>
      </c>
      <c r="AJ239" s="25">
        <v>107926</v>
      </c>
      <c r="AK239" s="25">
        <v>1577</v>
      </c>
      <c r="AL239" s="33">
        <v>1.4800000000000001E-2</v>
      </c>
      <c r="AM239" s="4" t="s">
        <v>3860</v>
      </c>
      <c r="AN239" s="12" t="s">
        <v>4030</v>
      </c>
      <c r="AO239" s="12" t="s">
        <v>4030</v>
      </c>
      <c r="AP239" s="12" t="str">
        <f>"427208230629740"</f>
        <v>427208230629740</v>
      </c>
      <c r="AQ239" s="12" t="s">
        <v>4029</v>
      </c>
      <c r="AR239" s="12" t="s">
        <v>4538</v>
      </c>
      <c r="AS239" s="12" t="s">
        <v>4539</v>
      </c>
      <c r="AT239" s="12"/>
      <c r="AU239" s="12" t="s">
        <v>324</v>
      </c>
      <c r="AV239" s="12"/>
      <c r="AW239" s="12"/>
      <c r="AX239" s="12">
        <v>0</v>
      </c>
      <c r="AY239" s="12">
        <v>55</v>
      </c>
      <c r="AZ239" s="12">
        <v>0</v>
      </c>
      <c r="BA239" s="12" t="s">
        <v>4540</v>
      </c>
      <c r="BB239" s="12" t="s">
        <v>6494</v>
      </c>
      <c r="BC239" s="12" t="s">
        <v>6495</v>
      </c>
      <c r="BD239" s="12"/>
      <c r="BE239" s="12" t="s">
        <v>2291</v>
      </c>
      <c r="BF239" s="12"/>
      <c r="BG239" s="12"/>
      <c r="BH239" s="12"/>
      <c r="BI239" s="12" t="s">
        <v>4541</v>
      </c>
      <c r="BJ239" s="12" t="s">
        <v>4542</v>
      </c>
      <c r="BK239" s="12" t="s">
        <v>6496</v>
      </c>
      <c r="BL239" s="12" t="s">
        <v>2292</v>
      </c>
      <c r="BM239" s="12" t="s">
        <v>2292</v>
      </c>
      <c r="BN239" s="12" t="s">
        <v>2292</v>
      </c>
      <c r="BO239" s="12" t="s">
        <v>2292</v>
      </c>
      <c r="BP239" s="12"/>
      <c r="BQ239" s="12"/>
      <c r="BR239" s="12"/>
      <c r="BS239" s="12"/>
      <c r="BT239" s="12" t="s">
        <v>4543</v>
      </c>
      <c r="BU239" s="12"/>
      <c r="BV239" s="12"/>
      <c r="BW239" s="12" t="s">
        <v>4544</v>
      </c>
      <c r="BX239" s="12"/>
      <c r="BY239" s="13" t="s">
        <v>313</v>
      </c>
      <c r="BZ239" s="13" t="s">
        <v>6170</v>
      </c>
      <c r="CA239" s="13" t="s">
        <v>6170</v>
      </c>
      <c r="CB239" s="13" t="s">
        <v>312</v>
      </c>
      <c r="CC239" s="13"/>
      <c r="CD239" s="13" t="s">
        <v>6198</v>
      </c>
      <c r="CE239" s="13"/>
      <c r="CF239" s="13"/>
    </row>
    <row r="240" spans="1:84" ht="18.600000000000001" customHeight="1" x14ac:dyDescent="0.25">
      <c r="A240" s="60" t="s">
        <v>85</v>
      </c>
      <c r="B240" s="2" t="s">
        <v>335</v>
      </c>
      <c r="C240" s="3" t="s">
        <v>2788</v>
      </c>
      <c r="D240" s="12" t="s">
        <v>1054</v>
      </c>
      <c r="E240" s="12" t="s">
        <v>86</v>
      </c>
      <c r="F240" s="12" t="s">
        <v>4221</v>
      </c>
      <c r="G240" s="25">
        <v>12713</v>
      </c>
      <c r="H240" s="25">
        <v>10959</v>
      </c>
      <c r="I240" s="25">
        <v>488</v>
      </c>
      <c r="J240" s="25">
        <v>856</v>
      </c>
      <c r="K240" s="25">
        <v>1618</v>
      </c>
      <c r="L240" s="25">
        <v>103</v>
      </c>
      <c r="M240" s="25">
        <v>1721</v>
      </c>
      <c r="N240" s="31">
        <v>0.94</v>
      </c>
      <c r="O240" s="25">
        <v>0</v>
      </c>
      <c r="P240" s="25">
        <v>0</v>
      </c>
      <c r="Q240" s="25">
        <v>386</v>
      </c>
      <c r="R240" s="25">
        <v>9</v>
      </c>
      <c r="S240" s="25">
        <v>4</v>
      </c>
      <c r="T240" s="25">
        <v>2</v>
      </c>
      <c r="U240" s="61">
        <v>9</v>
      </c>
      <c r="V240" s="58">
        <v>2.9999999999999997E-4</v>
      </c>
      <c r="W240" s="33">
        <v>2.9999999999999997E-4</v>
      </c>
      <c r="X240" s="33">
        <v>1E-4</v>
      </c>
      <c r="Y240" s="33">
        <v>1E-4</v>
      </c>
      <c r="Z240" s="33">
        <v>8.0000000000000004E-4</v>
      </c>
      <c r="AA240" s="33">
        <v>5.0000000000000001E-4</v>
      </c>
      <c r="AB240" s="25">
        <v>3479</v>
      </c>
      <c r="AC240" s="25">
        <v>3414</v>
      </c>
      <c r="AD240" s="25">
        <v>13</v>
      </c>
      <c r="AE240" s="25">
        <v>34</v>
      </c>
      <c r="AF240" s="25">
        <v>17</v>
      </c>
      <c r="AG240" s="25">
        <v>0</v>
      </c>
      <c r="AH240" s="25">
        <v>1</v>
      </c>
      <c r="AI240" s="12">
        <v>7.92</v>
      </c>
      <c r="AJ240" s="25">
        <v>9264</v>
      </c>
      <c r="AK240" s="25">
        <v>1306</v>
      </c>
      <c r="AL240" s="33">
        <v>0.1641</v>
      </c>
      <c r="AM240" s="3" t="s">
        <v>2788</v>
      </c>
      <c r="AN240" s="12" t="s">
        <v>86</v>
      </c>
      <c r="AO240" s="12" t="s">
        <v>86</v>
      </c>
      <c r="AP240" s="12" t="str">
        <f>"128108543915263"</f>
        <v>128108543915263</v>
      </c>
      <c r="AQ240" s="12" t="s">
        <v>1054</v>
      </c>
      <c r="AR240" s="12" t="s">
        <v>1055</v>
      </c>
      <c r="AS240" s="12" t="s">
        <v>1056</v>
      </c>
      <c r="AT240" s="12"/>
      <c r="AU240" s="12" t="s">
        <v>324</v>
      </c>
      <c r="AV240" s="12" t="s">
        <v>5927</v>
      </c>
      <c r="AW240" s="12"/>
      <c r="AX240" s="12">
        <v>2673</v>
      </c>
      <c r="AY240" s="12">
        <v>124</v>
      </c>
      <c r="AZ240" s="12">
        <v>2673</v>
      </c>
      <c r="BA240" s="12" t="s">
        <v>1057</v>
      </c>
      <c r="BB240" s="12" t="s">
        <v>6945</v>
      </c>
      <c r="BC240" s="12" t="s">
        <v>6946</v>
      </c>
      <c r="BD240" s="12"/>
      <c r="BE240" s="12" t="s">
        <v>2291</v>
      </c>
      <c r="BF240" s="12"/>
      <c r="BG240" s="12"/>
      <c r="BH240" s="12"/>
      <c r="BI240" s="12"/>
      <c r="BJ240" s="12"/>
      <c r="BK240" s="12"/>
      <c r="BL240" s="12" t="s">
        <v>2292</v>
      </c>
      <c r="BM240" s="12" t="s">
        <v>2292</v>
      </c>
      <c r="BN240" s="12" t="s">
        <v>2292</v>
      </c>
      <c r="BO240" s="12" t="s">
        <v>2292</v>
      </c>
      <c r="BP240" s="12"/>
      <c r="BQ240" s="12"/>
      <c r="BR240" s="12"/>
      <c r="BS240" s="12"/>
      <c r="BT240" s="12" t="s">
        <v>2789</v>
      </c>
      <c r="BU240" s="12" t="s">
        <v>326</v>
      </c>
      <c r="BV240" s="12"/>
      <c r="BW240" s="12" t="s">
        <v>1058</v>
      </c>
      <c r="BX240" s="12"/>
      <c r="BY240" s="13" t="s">
        <v>313</v>
      </c>
      <c r="BZ240" s="13" t="s">
        <v>6170</v>
      </c>
      <c r="CA240" s="13" t="s">
        <v>6170</v>
      </c>
      <c r="CB240" s="13" t="s">
        <v>312</v>
      </c>
      <c r="CC240" s="13"/>
      <c r="CD240" s="13" t="s">
        <v>6198</v>
      </c>
      <c r="CE240" s="13"/>
      <c r="CF240" s="13"/>
    </row>
    <row r="241" spans="1:2328" ht="18.600000000000001" customHeight="1" x14ac:dyDescent="0.25">
      <c r="A241" s="60" t="s">
        <v>87</v>
      </c>
      <c r="B241" s="2" t="s">
        <v>335</v>
      </c>
      <c r="C241" s="3" t="s">
        <v>2921</v>
      </c>
      <c r="D241" s="12" t="s">
        <v>1059</v>
      </c>
      <c r="E241" s="12" t="s">
        <v>1060</v>
      </c>
      <c r="F241" s="12" t="s">
        <v>4318</v>
      </c>
      <c r="G241" s="25">
        <v>12905</v>
      </c>
      <c r="H241" s="25">
        <v>10009</v>
      </c>
      <c r="I241" s="25">
        <v>142</v>
      </c>
      <c r="J241" s="25">
        <v>2552</v>
      </c>
      <c r="K241" s="25">
        <v>20181</v>
      </c>
      <c r="L241" s="25">
        <v>14384</v>
      </c>
      <c r="M241" s="25">
        <v>34565</v>
      </c>
      <c r="N241" s="31">
        <v>0.57999999999999996</v>
      </c>
      <c r="O241" s="25">
        <v>0</v>
      </c>
      <c r="P241" s="25">
        <v>0</v>
      </c>
      <c r="Q241" s="25">
        <v>152</v>
      </c>
      <c r="R241" s="25">
        <v>12</v>
      </c>
      <c r="S241" s="25">
        <v>7</v>
      </c>
      <c r="T241" s="25">
        <v>28</v>
      </c>
      <c r="U241" s="61">
        <v>2</v>
      </c>
      <c r="V241" s="58">
        <v>5.7000000000000002E-3</v>
      </c>
      <c r="W241" s="33">
        <v>6.6E-3</v>
      </c>
      <c r="X241" s="33">
        <v>3.8999999999999998E-3</v>
      </c>
      <c r="Y241" s="33">
        <v>2.3999999999999998E-3</v>
      </c>
      <c r="Z241" s="33">
        <v>1.0800000000000001E-2</v>
      </c>
      <c r="AA241" s="33">
        <v>3.5000000000000001E-3</v>
      </c>
      <c r="AB241" s="25">
        <v>495</v>
      </c>
      <c r="AC241" s="25">
        <v>225</v>
      </c>
      <c r="AD241" s="25">
        <v>129</v>
      </c>
      <c r="AE241" s="25">
        <v>84</v>
      </c>
      <c r="AF241" s="25">
        <v>48</v>
      </c>
      <c r="AG241" s="25">
        <v>0</v>
      </c>
      <c r="AH241" s="25">
        <v>9</v>
      </c>
      <c r="AI241" s="12">
        <v>1.1299999999999999</v>
      </c>
      <c r="AJ241" s="25">
        <v>5283</v>
      </c>
      <c r="AK241" s="25">
        <v>1194</v>
      </c>
      <c r="AL241" s="33">
        <v>0.29199999999999998</v>
      </c>
      <c r="AM241" s="3" t="s">
        <v>2921</v>
      </c>
      <c r="AN241" s="12" t="s">
        <v>1060</v>
      </c>
      <c r="AO241" s="12" t="s">
        <v>1060</v>
      </c>
      <c r="AP241" s="12" t="str">
        <f>"1438274123071149"</f>
        <v>1438274123071149</v>
      </c>
      <c r="AQ241" s="12" t="s">
        <v>1059</v>
      </c>
      <c r="AR241" s="12" t="s">
        <v>1061</v>
      </c>
      <c r="AS241" s="12" t="s">
        <v>1062</v>
      </c>
      <c r="AT241" s="12"/>
      <c r="AU241" s="12" t="s">
        <v>324</v>
      </c>
      <c r="AV241" s="12" t="s">
        <v>5731</v>
      </c>
      <c r="AW241" s="12"/>
      <c r="AX241" s="12">
        <v>16</v>
      </c>
      <c r="AY241" s="12">
        <v>175</v>
      </c>
      <c r="AZ241" s="12">
        <v>16</v>
      </c>
      <c r="BA241" s="12" t="s">
        <v>1063</v>
      </c>
      <c r="BB241" s="12" t="s">
        <v>7143</v>
      </c>
      <c r="BC241" s="12" t="s">
        <v>7144</v>
      </c>
      <c r="BD241" s="12"/>
      <c r="BE241" s="12" t="s">
        <v>2291</v>
      </c>
      <c r="BF241" s="12"/>
      <c r="BG241" s="12"/>
      <c r="BH241" s="12"/>
      <c r="BI241" s="12" t="s">
        <v>3308</v>
      </c>
      <c r="BJ241" s="12"/>
      <c r="BK241" s="12" t="s">
        <v>6581</v>
      </c>
      <c r="BL241" s="12" t="s">
        <v>2292</v>
      </c>
      <c r="BM241" s="12" t="s">
        <v>2292</v>
      </c>
      <c r="BN241" s="12" t="s">
        <v>2292</v>
      </c>
      <c r="BO241" s="12" t="s">
        <v>2292</v>
      </c>
      <c r="BP241" s="12"/>
      <c r="BQ241" s="12"/>
      <c r="BR241" s="12"/>
      <c r="BS241" s="12"/>
      <c r="BT241" s="12">
        <v>996312626559</v>
      </c>
      <c r="BU241" s="12" t="s">
        <v>326</v>
      </c>
      <c r="BV241" s="12"/>
      <c r="BW241" s="12" t="s">
        <v>5990</v>
      </c>
      <c r="BX241" s="12"/>
      <c r="BY241" s="13" t="s">
        <v>313</v>
      </c>
      <c r="BZ241" s="13" t="s">
        <v>6172</v>
      </c>
      <c r="CA241" s="13" t="s">
        <v>6170</v>
      </c>
      <c r="CB241" s="13" t="s">
        <v>6197</v>
      </c>
      <c r="CC241" s="13"/>
      <c r="CD241" s="13" t="s">
        <v>6198</v>
      </c>
      <c r="CE241" s="13"/>
      <c r="CF241" s="13"/>
    </row>
    <row r="242" spans="1:2328" ht="18.600000000000001" customHeight="1" x14ac:dyDescent="0.25">
      <c r="A242" s="60" t="s">
        <v>88</v>
      </c>
      <c r="B242" s="2" t="s">
        <v>3718</v>
      </c>
      <c r="C242" s="3" t="s">
        <v>3719</v>
      </c>
      <c r="D242" s="12" t="s">
        <v>3789</v>
      </c>
      <c r="E242" s="12" t="s">
        <v>3788</v>
      </c>
      <c r="F242" s="12" t="s">
        <v>4189</v>
      </c>
      <c r="G242" s="25">
        <v>1487371</v>
      </c>
      <c r="H242" s="25">
        <v>1205711</v>
      </c>
      <c r="I242" s="25">
        <v>61658</v>
      </c>
      <c r="J242" s="25">
        <v>107929</v>
      </c>
      <c r="K242" s="25">
        <v>9996837</v>
      </c>
      <c r="L242" s="25">
        <v>4084535</v>
      </c>
      <c r="M242" s="25">
        <v>14081372</v>
      </c>
      <c r="N242" s="31">
        <v>0.71</v>
      </c>
      <c r="O242" s="25">
        <v>14356</v>
      </c>
      <c r="P242" s="25">
        <v>407330</v>
      </c>
      <c r="Q242" s="25">
        <v>101267</v>
      </c>
      <c r="R242" s="25">
        <v>2057</v>
      </c>
      <c r="S242" s="25">
        <v>2725</v>
      </c>
      <c r="T242" s="25">
        <v>5435</v>
      </c>
      <c r="U242" s="61">
        <v>575</v>
      </c>
      <c r="V242" s="58">
        <v>1.0999999999999999E-2</v>
      </c>
      <c r="W242" s="33">
        <v>8.5000000000000006E-3</v>
      </c>
      <c r="X242" s="33">
        <v>3.7000000000000002E-3</v>
      </c>
      <c r="Y242" s="33">
        <v>2.8999999999999998E-3</v>
      </c>
      <c r="Z242" s="33">
        <v>1.9E-2</v>
      </c>
      <c r="AA242" s="12" t="s">
        <v>3926</v>
      </c>
      <c r="AB242" s="25">
        <v>1087</v>
      </c>
      <c r="AC242" s="25">
        <v>768</v>
      </c>
      <c r="AD242" s="25">
        <v>2</v>
      </c>
      <c r="AE242" s="25">
        <v>30</v>
      </c>
      <c r="AF242" s="25">
        <v>285</v>
      </c>
      <c r="AG242" s="25">
        <v>2</v>
      </c>
      <c r="AH242" s="25">
        <v>0</v>
      </c>
      <c r="AI242" s="12">
        <v>2.48</v>
      </c>
      <c r="AJ242" s="25">
        <v>179736</v>
      </c>
      <c r="AK242" s="25">
        <v>114384</v>
      </c>
      <c r="AL242" s="33">
        <v>1.7503</v>
      </c>
      <c r="AM242" s="3" t="s">
        <v>3719</v>
      </c>
      <c r="AN242" s="12" t="s">
        <v>3788</v>
      </c>
      <c r="AO242" s="12" t="s">
        <v>3788</v>
      </c>
      <c r="AP242" s="12" t="str">
        <f>"437580819645990"</f>
        <v>437580819645990</v>
      </c>
      <c r="AQ242" s="12" t="s">
        <v>3789</v>
      </c>
      <c r="AR242" s="12"/>
      <c r="AS242" s="12" t="s">
        <v>4829</v>
      </c>
      <c r="AT242" s="12" t="s">
        <v>4695</v>
      </c>
      <c r="AU242" s="12" t="s">
        <v>319</v>
      </c>
      <c r="AV242" s="12" t="s">
        <v>5773</v>
      </c>
      <c r="AW242" s="12"/>
      <c r="AX242" s="12">
        <v>10</v>
      </c>
      <c r="AY242" s="12">
        <v>6223</v>
      </c>
      <c r="AZ242" s="12">
        <v>0</v>
      </c>
      <c r="BA242" s="12" t="s">
        <v>3790</v>
      </c>
      <c r="BB242" s="12" t="s">
        <v>6874</v>
      </c>
      <c r="BC242" s="12" t="s">
        <v>6875</v>
      </c>
      <c r="BD242" s="12"/>
      <c r="BE242" s="12" t="s">
        <v>2291</v>
      </c>
      <c r="BF242" s="12"/>
      <c r="BG242" s="12"/>
      <c r="BH242" s="12"/>
      <c r="BI242" s="12"/>
      <c r="BJ242" s="12"/>
      <c r="BK242" s="12"/>
      <c r="BL242" s="12" t="s">
        <v>2292</v>
      </c>
      <c r="BM242" s="12" t="s">
        <v>2292</v>
      </c>
      <c r="BN242" s="12" t="s">
        <v>2292</v>
      </c>
      <c r="BO242" s="12" t="s">
        <v>2291</v>
      </c>
      <c r="BP242" s="12"/>
      <c r="BQ242" s="12"/>
      <c r="BR242" s="12"/>
      <c r="BS242" s="12"/>
      <c r="BT242" s="12"/>
      <c r="BU242" s="12" t="s">
        <v>326</v>
      </c>
      <c r="BV242" s="12"/>
      <c r="BW242" s="12"/>
      <c r="BX242" s="12"/>
      <c r="BY242" s="13" t="s">
        <v>313</v>
      </c>
      <c r="BZ242" s="13" t="s">
        <v>6170</v>
      </c>
      <c r="CA242" s="13" t="s">
        <v>6170</v>
      </c>
      <c r="CB242" s="13" t="s">
        <v>312</v>
      </c>
      <c r="CC242" s="13"/>
      <c r="CD242" s="13" t="s">
        <v>6198</v>
      </c>
      <c r="CE242" s="13"/>
      <c r="CF242" s="13"/>
    </row>
    <row r="243" spans="1:2328" ht="18.600000000000001" customHeight="1" x14ac:dyDescent="0.25">
      <c r="A243" s="60" t="s">
        <v>88</v>
      </c>
      <c r="B243" s="2" t="s">
        <v>3727</v>
      </c>
      <c r="C243" s="3" t="s">
        <v>4981</v>
      </c>
      <c r="D243" s="12" t="s">
        <v>3806</v>
      </c>
      <c r="E243" s="12" t="s">
        <v>3728</v>
      </c>
      <c r="F243" s="12" t="s">
        <v>4344</v>
      </c>
      <c r="G243" s="25">
        <v>752809</v>
      </c>
      <c r="H243" s="25">
        <v>591263</v>
      </c>
      <c r="I243" s="25">
        <v>52243</v>
      </c>
      <c r="J243" s="25">
        <v>42070</v>
      </c>
      <c r="K243" s="25">
        <v>3945911</v>
      </c>
      <c r="L243" s="25">
        <v>1453075</v>
      </c>
      <c r="M243" s="25">
        <v>5398986</v>
      </c>
      <c r="N243" s="31">
        <v>0.73</v>
      </c>
      <c r="O243" s="25">
        <v>235411</v>
      </c>
      <c r="P243" s="25">
        <v>509535</v>
      </c>
      <c r="Q243" s="25">
        <v>57820</v>
      </c>
      <c r="R243" s="25">
        <v>1347</v>
      </c>
      <c r="S243" s="25">
        <v>2347</v>
      </c>
      <c r="T243" s="25">
        <v>4590</v>
      </c>
      <c r="U243" s="61">
        <v>1109</v>
      </c>
      <c r="V243" s="58">
        <v>1.8E-3</v>
      </c>
      <c r="W243" s="33">
        <v>1.8E-3</v>
      </c>
      <c r="X243" s="33">
        <v>4.0000000000000002E-4</v>
      </c>
      <c r="Y243" s="33">
        <v>1.2999999999999999E-3</v>
      </c>
      <c r="Z243" s="33">
        <v>2.0999999999999999E-3</v>
      </c>
      <c r="AA243" s="33">
        <v>8.9999999999999998E-4</v>
      </c>
      <c r="AB243" s="25">
        <v>972</v>
      </c>
      <c r="AC243" s="25">
        <v>366</v>
      </c>
      <c r="AD243" s="25">
        <v>5</v>
      </c>
      <c r="AE243" s="25">
        <v>64</v>
      </c>
      <c r="AF243" s="25">
        <v>433</v>
      </c>
      <c r="AG243" s="25">
        <v>17</v>
      </c>
      <c r="AH243" s="25">
        <v>87</v>
      </c>
      <c r="AI243" s="12">
        <v>2.21</v>
      </c>
      <c r="AJ243" s="25">
        <v>449688</v>
      </c>
      <c r="AK243" s="25">
        <v>46878</v>
      </c>
      <c r="AL243" s="33">
        <v>0.1164</v>
      </c>
      <c r="AM243" s="3" t="s">
        <v>4981</v>
      </c>
      <c r="AN243" s="12" t="s">
        <v>3728</v>
      </c>
      <c r="AO243" s="12" t="s">
        <v>3728</v>
      </c>
      <c r="AP243" s="12" t="str">
        <f>"228456818293"</f>
        <v>228456818293</v>
      </c>
      <c r="AQ243" s="12" t="s">
        <v>3806</v>
      </c>
      <c r="AR243" s="12" t="s">
        <v>5448</v>
      </c>
      <c r="AS243" s="12"/>
      <c r="AT243" s="12" t="s">
        <v>5449</v>
      </c>
      <c r="AU243" s="12" t="s">
        <v>309</v>
      </c>
      <c r="AV243" s="12"/>
      <c r="AW243" s="12"/>
      <c r="AX243" s="12">
        <v>0</v>
      </c>
      <c r="AY243" s="12">
        <v>6616</v>
      </c>
      <c r="AZ243" s="12">
        <v>0</v>
      </c>
      <c r="BA243" s="12" t="s">
        <v>5450</v>
      </c>
      <c r="BB243" s="12"/>
      <c r="BC243" s="12" t="s">
        <v>7204</v>
      </c>
      <c r="BD243" s="12"/>
      <c r="BE243" s="12" t="s">
        <v>2291</v>
      </c>
      <c r="BF243" s="12"/>
      <c r="BG243" s="12"/>
      <c r="BH243" s="12"/>
      <c r="BI243" s="12" t="s">
        <v>5451</v>
      </c>
      <c r="BJ243" s="12"/>
      <c r="BK243" s="12"/>
      <c r="BL243" s="12" t="s">
        <v>2292</v>
      </c>
      <c r="BM243" s="12" t="s">
        <v>2292</v>
      </c>
      <c r="BN243" s="12" t="s">
        <v>2292</v>
      </c>
      <c r="BO243" s="12" t="s">
        <v>2291</v>
      </c>
      <c r="BP243" s="12"/>
      <c r="BQ243" s="12"/>
      <c r="BR243" s="12"/>
      <c r="BS243" s="12"/>
      <c r="BT243" s="12"/>
      <c r="BU243" s="12"/>
      <c r="BV243" s="12"/>
      <c r="BW243" s="12"/>
      <c r="BX243" s="12"/>
      <c r="BY243" s="13" t="s">
        <v>313</v>
      </c>
      <c r="BZ243" s="13" t="s">
        <v>312</v>
      </c>
      <c r="CA243" s="13"/>
      <c r="CB243" s="13"/>
      <c r="CC243" s="13"/>
      <c r="CD243" s="13"/>
      <c r="CE243" s="13" t="s">
        <v>6175</v>
      </c>
      <c r="CF243" s="13"/>
    </row>
    <row r="244" spans="1:2328" ht="18.600000000000001" customHeight="1" x14ac:dyDescent="0.25">
      <c r="A244" s="60" t="s">
        <v>88</v>
      </c>
      <c r="B244" s="2" t="s">
        <v>1068</v>
      </c>
      <c r="C244" s="3" t="s">
        <v>2514</v>
      </c>
      <c r="D244" s="12" t="s">
        <v>1065</v>
      </c>
      <c r="E244" s="12" t="s">
        <v>1064</v>
      </c>
      <c r="F244" s="12" t="s">
        <v>4063</v>
      </c>
      <c r="G244" s="25">
        <v>413430</v>
      </c>
      <c r="H244" s="25">
        <v>350845</v>
      </c>
      <c r="I244" s="25">
        <v>13818</v>
      </c>
      <c r="J244" s="25">
        <v>28119</v>
      </c>
      <c r="K244" s="25">
        <v>374741</v>
      </c>
      <c r="L244" s="25">
        <v>543449</v>
      </c>
      <c r="M244" s="25">
        <v>918190</v>
      </c>
      <c r="N244" s="31">
        <v>0.41</v>
      </c>
      <c r="O244" s="25">
        <v>11031</v>
      </c>
      <c r="P244" s="25">
        <v>19579</v>
      </c>
      <c r="Q244" s="25">
        <v>18611</v>
      </c>
      <c r="R244" s="25">
        <v>470</v>
      </c>
      <c r="S244" s="25">
        <v>884</v>
      </c>
      <c r="T244" s="25">
        <v>517</v>
      </c>
      <c r="U244" s="61">
        <v>160</v>
      </c>
      <c r="V244" s="58">
        <v>5.7999999999999996E-3</v>
      </c>
      <c r="W244" s="33">
        <v>6.0000000000000001E-3</v>
      </c>
      <c r="X244" s="33">
        <v>3.3999999999999998E-3</v>
      </c>
      <c r="Y244" s="33">
        <v>4.3E-3</v>
      </c>
      <c r="Z244" s="33">
        <v>6.7999999999999996E-3</v>
      </c>
      <c r="AA244" s="33">
        <v>2.5999999999999999E-3</v>
      </c>
      <c r="AB244" s="25">
        <v>920</v>
      </c>
      <c r="AC244" s="25">
        <v>704</v>
      </c>
      <c r="AD244" s="25">
        <v>26</v>
      </c>
      <c r="AE244" s="25">
        <v>82</v>
      </c>
      <c r="AF244" s="25">
        <v>92</v>
      </c>
      <c r="AG244" s="25">
        <v>8</v>
      </c>
      <c r="AH244" s="25">
        <v>8</v>
      </c>
      <c r="AI244" s="12">
        <v>2.1</v>
      </c>
      <c r="AJ244" s="25">
        <v>86230</v>
      </c>
      <c r="AK244" s="25">
        <v>17709</v>
      </c>
      <c r="AL244" s="33">
        <v>0.25840000000000002</v>
      </c>
      <c r="AM244" s="3" t="s">
        <v>2514</v>
      </c>
      <c r="AN244" s="12" t="s">
        <v>1064</v>
      </c>
      <c r="AO244" s="12" t="s">
        <v>1064</v>
      </c>
      <c r="AP244" s="12" t="str">
        <f>"207368492653070"</f>
        <v>207368492653070</v>
      </c>
      <c r="AQ244" s="12" t="s">
        <v>1065</v>
      </c>
      <c r="AR244" s="12" t="s">
        <v>1066</v>
      </c>
      <c r="AS244" s="12" t="s">
        <v>3248</v>
      </c>
      <c r="AT244" s="12"/>
      <c r="AU244" s="12" t="s">
        <v>309</v>
      </c>
      <c r="AV244" s="12"/>
      <c r="AW244" s="12"/>
      <c r="AX244" s="12">
        <v>0</v>
      </c>
      <c r="AY244" s="12">
        <v>7644</v>
      </c>
      <c r="AZ244" s="12">
        <v>0</v>
      </c>
      <c r="BA244" s="12" t="s">
        <v>1067</v>
      </c>
      <c r="BB244" s="12"/>
      <c r="BC244" s="12" t="s">
        <v>6578</v>
      </c>
      <c r="BD244" s="12"/>
      <c r="BE244" s="12" t="s">
        <v>2291</v>
      </c>
      <c r="BF244" s="12"/>
      <c r="BG244" s="12"/>
      <c r="BH244" s="12"/>
      <c r="BI244" s="12"/>
      <c r="BJ244" s="12"/>
      <c r="BK244" s="12"/>
      <c r="BL244" s="12" t="s">
        <v>2292</v>
      </c>
      <c r="BM244" s="12" t="s">
        <v>2292</v>
      </c>
      <c r="BN244" s="12" t="s">
        <v>2292</v>
      </c>
      <c r="BO244" s="12" t="s">
        <v>2292</v>
      </c>
      <c r="BP244" s="12"/>
      <c r="BQ244" s="12"/>
      <c r="BR244" s="12" t="s">
        <v>2515</v>
      </c>
      <c r="BS244" s="12"/>
      <c r="BT244" s="12"/>
      <c r="BU244" s="12"/>
      <c r="BV244" s="12"/>
      <c r="BW244" s="12"/>
      <c r="BX244" s="12"/>
      <c r="BY244" s="13" t="s">
        <v>313</v>
      </c>
      <c r="BZ244" s="13" t="s">
        <v>312</v>
      </c>
      <c r="CA244" s="13"/>
      <c r="CB244" s="13"/>
      <c r="CC244" s="13"/>
      <c r="CD244" s="13"/>
      <c r="CE244" s="13"/>
      <c r="CF244" s="13"/>
    </row>
    <row r="245" spans="1:2328" ht="18.600000000000001" customHeight="1" x14ac:dyDescent="0.25">
      <c r="A245" s="60" t="s">
        <v>89</v>
      </c>
      <c r="B245" s="2" t="s">
        <v>1073</v>
      </c>
      <c r="C245" s="3" t="s">
        <v>2809</v>
      </c>
      <c r="D245" s="12" t="s">
        <v>1070</v>
      </c>
      <c r="E245" s="12" t="s">
        <v>1069</v>
      </c>
      <c r="F245" s="12" t="s">
        <v>4235</v>
      </c>
      <c r="G245" s="25">
        <v>10383775</v>
      </c>
      <c r="H245" s="25">
        <v>7642916</v>
      </c>
      <c r="I245" s="25">
        <v>1310581</v>
      </c>
      <c r="J245" s="25">
        <v>584088</v>
      </c>
      <c r="K245" s="25">
        <v>18719435</v>
      </c>
      <c r="L245" s="25">
        <v>5827073</v>
      </c>
      <c r="M245" s="25">
        <v>24546508</v>
      </c>
      <c r="N245" s="31">
        <v>0.76</v>
      </c>
      <c r="O245" s="25">
        <v>81402</v>
      </c>
      <c r="P245" s="25">
        <v>4652778</v>
      </c>
      <c r="Q245" s="25">
        <v>381473</v>
      </c>
      <c r="R245" s="25">
        <v>40965</v>
      </c>
      <c r="S245" s="25">
        <v>225594</v>
      </c>
      <c r="T245" s="25">
        <v>45272</v>
      </c>
      <c r="U245" s="61">
        <v>147150</v>
      </c>
      <c r="V245" s="58">
        <v>2.2000000000000001E-3</v>
      </c>
      <c r="W245" s="33">
        <v>2.7000000000000001E-3</v>
      </c>
      <c r="X245" s="33">
        <v>1.9E-3</v>
      </c>
      <c r="Y245" s="33">
        <v>3.0999999999999999E-3</v>
      </c>
      <c r="Z245" s="33">
        <v>1.6000000000000001E-3</v>
      </c>
      <c r="AA245" s="33">
        <v>2.0000000000000001E-4</v>
      </c>
      <c r="AB245" s="25">
        <v>1429</v>
      </c>
      <c r="AC245" s="25">
        <v>518</v>
      </c>
      <c r="AD245" s="25">
        <v>346</v>
      </c>
      <c r="AE245" s="25">
        <v>162</v>
      </c>
      <c r="AF245" s="25">
        <v>397</v>
      </c>
      <c r="AG245" s="25">
        <v>5</v>
      </c>
      <c r="AH245" s="25">
        <v>1</v>
      </c>
      <c r="AI245" s="12">
        <v>3.26</v>
      </c>
      <c r="AJ245" s="25">
        <v>3392315</v>
      </c>
      <c r="AK245" s="25">
        <v>284193</v>
      </c>
      <c r="AL245" s="33">
        <v>9.1399999999999995E-2</v>
      </c>
      <c r="AM245" s="3" t="s">
        <v>2809</v>
      </c>
      <c r="AN245" s="12" t="s">
        <v>1069</v>
      </c>
      <c r="AO245" s="12" t="s">
        <v>1069</v>
      </c>
      <c r="AP245" s="12" t="str">
        <f>"157851205951"</f>
        <v>157851205951</v>
      </c>
      <c r="AQ245" s="12" t="s">
        <v>1070</v>
      </c>
      <c r="AR245" s="12" t="s">
        <v>1071</v>
      </c>
      <c r="AS245" s="12" t="s">
        <v>3643</v>
      </c>
      <c r="AT245" s="12"/>
      <c r="AU245" s="12" t="s">
        <v>309</v>
      </c>
      <c r="AV245" s="12"/>
      <c r="AW245" s="12"/>
      <c r="AX245" s="12">
        <v>0</v>
      </c>
      <c r="AY245" s="12">
        <v>77761</v>
      </c>
      <c r="AZ245" s="12">
        <v>0</v>
      </c>
      <c r="BA245" s="12" t="s">
        <v>1072</v>
      </c>
      <c r="BB245" s="12"/>
      <c r="BC245" s="12" t="s">
        <v>6972</v>
      </c>
      <c r="BD245" s="12"/>
      <c r="BE245" s="12" t="s">
        <v>2291</v>
      </c>
      <c r="BF245" s="12"/>
      <c r="BG245" s="12"/>
      <c r="BH245" s="12"/>
      <c r="BI245" s="12"/>
      <c r="BJ245" s="12"/>
      <c r="BK245" s="12"/>
      <c r="BL245" s="12" t="s">
        <v>2292</v>
      </c>
      <c r="BM245" s="12" t="s">
        <v>2292</v>
      </c>
      <c r="BN245" s="12" t="s">
        <v>2292</v>
      </c>
      <c r="BO245" s="12" t="s">
        <v>2291</v>
      </c>
      <c r="BP245" s="12"/>
      <c r="BQ245" s="12"/>
      <c r="BR245" s="12"/>
      <c r="BS245" s="12"/>
      <c r="BT245" s="12"/>
      <c r="BU245" s="12"/>
      <c r="BV245" s="12"/>
      <c r="BW245" s="12"/>
      <c r="BX245" s="12"/>
      <c r="BY245" s="13" t="s">
        <v>313</v>
      </c>
      <c r="BZ245" s="13" t="s">
        <v>6188</v>
      </c>
      <c r="CA245" s="13"/>
      <c r="CB245" s="13"/>
      <c r="CC245" s="13"/>
      <c r="CD245" s="13"/>
      <c r="CE245" s="13"/>
      <c r="CF245" s="13"/>
    </row>
    <row r="246" spans="1:2328" ht="18.600000000000001" customHeight="1" x14ac:dyDescent="0.25">
      <c r="A246" s="60" t="s">
        <v>89</v>
      </c>
      <c r="B246" s="2" t="s">
        <v>315</v>
      </c>
      <c r="C246" s="3" t="s">
        <v>3382</v>
      </c>
      <c r="D246" s="12" t="s">
        <v>3348</v>
      </c>
      <c r="E246" s="12" t="s">
        <v>90</v>
      </c>
      <c r="F246" s="12" t="s">
        <v>4271</v>
      </c>
      <c r="G246" s="25">
        <v>205337</v>
      </c>
      <c r="H246" s="25">
        <v>156349</v>
      </c>
      <c r="I246" s="25">
        <v>5835</v>
      </c>
      <c r="J246" s="25">
        <v>31621</v>
      </c>
      <c r="K246" s="25">
        <v>105986</v>
      </c>
      <c r="L246" s="25">
        <v>99431</v>
      </c>
      <c r="M246" s="25">
        <v>205417</v>
      </c>
      <c r="N246" s="31">
        <v>0.52</v>
      </c>
      <c r="O246" s="25">
        <v>6968</v>
      </c>
      <c r="P246" s="25">
        <v>53137</v>
      </c>
      <c r="Q246" s="25">
        <v>8994</v>
      </c>
      <c r="R246" s="25">
        <v>449</v>
      </c>
      <c r="S246" s="25">
        <v>1011</v>
      </c>
      <c r="T246" s="25">
        <v>427</v>
      </c>
      <c r="U246" s="61">
        <v>494</v>
      </c>
      <c r="V246" s="58">
        <v>3.0000000000000001E-3</v>
      </c>
      <c r="W246" s="33">
        <v>3.0000000000000001E-3</v>
      </c>
      <c r="X246" s="33">
        <v>1.4E-3</v>
      </c>
      <c r="Y246" s="33">
        <v>2.3999999999999998E-3</v>
      </c>
      <c r="Z246" s="33">
        <v>7.1000000000000004E-3</v>
      </c>
      <c r="AA246" s="33">
        <v>1E-3</v>
      </c>
      <c r="AB246" s="25">
        <v>1132</v>
      </c>
      <c r="AC246" s="25">
        <v>1020</v>
      </c>
      <c r="AD246" s="25">
        <v>15</v>
      </c>
      <c r="AE246" s="25">
        <v>60</v>
      </c>
      <c r="AF246" s="25">
        <v>22</v>
      </c>
      <c r="AG246" s="25">
        <v>12</v>
      </c>
      <c r="AH246" s="25">
        <v>3</v>
      </c>
      <c r="AI246" s="12">
        <v>2.58</v>
      </c>
      <c r="AJ246" s="25">
        <v>65924</v>
      </c>
      <c r="AK246" s="25">
        <v>12215</v>
      </c>
      <c r="AL246" s="33">
        <v>0.22739999999999999</v>
      </c>
      <c r="AM246" s="3" t="s">
        <v>3382</v>
      </c>
      <c r="AN246" s="12" t="s">
        <v>90</v>
      </c>
      <c r="AO246" s="12" t="s">
        <v>90</v>
      </c>
      <c r="AP246" s="12" t="str">
        <f>"1060496417299670"</f>
        <v>1060496417299670</v>
      </c>
      <c r="AQ246" s="12" t="s">
        <v>3348</v>
      </c>
      <c r="AR246" s="12" t="s">
        <v>3142</v>
      </c>
      <c r="AS246" s="12" t="s">
        <v>3349</v>
      </c>
      <c r="AT246" s="12"/>
      <c r="AU246" s="12" t="s">
        <v>324</v>
      </c>
      <c r="AV246" s="12" t="s">
        <v>5731</v>
      </c>
      <c r="AW246" s="12"/>
      <c r="AX246" s="12">
        <v>2130</v>
      </c>
      <c r="AY246" s="12">
        <v>1388</v>
      </c>
      <c r="AZ246" s="12">
        <v>2130</v>
      </c>
      <c r="BA246" s="12" t="s">
        <v>3350</v>
      </c>
      <c r="BB246" s="12" t="s">
        <v>7046</v>
      </c>
      <c r="BC246" s="12" t="s">
        <v>7047</v>
      </c>
      <c r="BD246" s="12"/>
      <c r="BE246" s="12" t="s">
        <v>2291</v>
      </c>
      <c r="BF246" s="12"/>
      <c r="BG246" s="12"/>
      <c r="BH246" s="12"/>
      <c r="BI246" s="12" t="s">
        <v>3351</v>
      </c>
      <c r="BJ246" s="12"/>
      <c r="BK246" s="12"/>
      <c r="BL246" s="12" t="s">
        <v>2292</v>
      </c>
      <c r="BM246" s="12" t="s">
        <v>2292</v>
      </c>
      <c r="BN246" s="12" t="s">
        <v>2292</v>
      </c>
      <c r="BO246" s="12" t="s">
        <v>2291</v>
      </c>
      <c r="BP246" s="12"/>
      <c r="BQ246" s="12"/>
      <c r="BR246" s="12"/>
      <c r="BS246" s="12"/>
      <c r="BT246" s="12" t="s">
        <v>3352</v>
      </c>
      <c r="BU246" s="12" t="s">
        <v>326</v>
      </c>
      <c r="BV246" s="12"/>
      <c r="BW246" s="12" t="s">
        <v>3650</v>
      </c>
      <c r="BX246" s="12"/>
      <c r="BY246" s="13" t="s">
        <v>313</v>
      </c>
      <c r="BZ246" s="13" t="s">
        <v>6170</v>
      </c>
      <c r="CA246" s="13" t="s">
        <v>6170</v>
      </c>
      <c r="CB246" s="13" t="s">
        <v>6197</v>
      </c>
      <c r="CC246" s="13"/>
      <c r="CD246" s="13" t="s">
        <v>6198</v>
      </c>
      <c r="CE246" s="13"/>
      <c r="CF246" s="13"/>
    </row>
    <row r="247" spans="1:2328" ht="18.600000000000001" customHeight="1" x14ac:dyDescent="0.25">
      <c r="A247" s="60" t="s">
        <v>89</v>
      </c>
      <c r="B247" s="2" t="s">
        <v>1079</v>
      </c>
      <c r="C247" s="3" t="s">
        <v>2311</v>
      </c>
      <c r="D247" s="12" t="s">
        <v>1074</v>
      </c>
      <c r="E247" s="12" t="s">
        <v>1075</v>
      </c>
      <c r="F247" s="12" t="s">
        <v>3950</v>
      </c>
      <c r="G247" s="25">
        <v>1875</v>
      </c>
      <c r="H247" s="25">
        <v>1648</v>
      </c>
      <c r="I247" s="25">
        <v>57</v>
      </c>
      <c r="J247" s="25">
        <v>140</v>
      </c>
      <c r="K247" s="25">
        <v>679</v>
      </c>
      <c r="L247" s="25">
        <v>181</v>
      </c>
      <c r="M247" s="25">
        <v>860</v>
      </c>
      <c r="N247" s="31">
        <v>0.79</v>
      </c>
      <c r="O247" s="25">
        <v>0</v>
      </c>
      <c r="P247" s="25">
        <v>0</v>
      </c>
      <c r="Q247" s="25">
        <v>27</v>
      </c>
      <c r="R247" s="25">
        <v>1</v>
      </c>
      <c r="S247" s="25">
        <v>1</v>
      </c>
      <c r="T247" s="25">
        <v>1</v>
      </c>
      <c r="U247" s="61">
        <v>0</v>
      </c>
      <c r="V247" s="58">
        <v>4.4000000000000003E-3</v>
      </c>
      <c r="W247" s="33">
        <v>5.0000000000000001E-3</v>
      </c>
      <c r="X247" s="33">
        <v>4.0000000000000002E-4</v>
      </c>
      <c r="Y247" s="33">
        <v>2.5000000000000001E-3</v>
      </c>
      <c r="Z247" s="33">
        <v>5.7999999999999996E-3</v>
      </c>
      <c r="AA247" s="12" t="s">
        <v>3926</v>
      </c>
      <c r="AB247" s="25">
        <v>95</v>
      </c>
      <c r="AC247" s="25">
        <v>74</v>
      </c>
      <c r="AD247" s="25">
        <v>6</v>
      </c>
      <c r="AE247" s="25">
        <v>12</v>
      </c>
      <c r="AF247" s="25">
        <v>3</v>
      </c>
      <c r="AG247" s="25">
        <v>0</v>
      </c>
      <c r="AH247" s="25">
        <v>0</v>
      </c>
      <c r="AI247" s="12">
        <v>0.22</v>
      </c>
      <c r="AJ247" s="25">
        <v>4517</v>
      </c>
      <c r="AK247" s="25">
        <v>432</v>
      </c>
      <c r="AL247" s="33">
        <v>0.10580000000000001</v>
      </c>
      <c r="AM247" s="3" t="s">
        <v>2311</v>
      </c>
      <c r="AN247" s="12" t="s">
        <v>1075</v>
      </c>
      <c r="AO247" s="12" t="s">
        <v>1075</v>
      </c>
      <c r="AP247" s="12" t="str">
        <f>"397397420360311"</f>
        <v>397397420360311</v>
      </c>
      <c r="AQ247" s="12" t="s">
        <v>1074</v>
      </c>
      <c r="AR247" s="12" t="s">
        <v>1076</v>
      </c>
      <c r="AS247" s="12" t="s">
        <v>1077</v>
      </c>
      <c r="AT247" s="12"/>
      <c r="AU247" s="12" t="s">
        <v>309</v>
      </c>
      <c r="AV247" s="12"/>
      <c r="AW247" s="12"/>
      <c r="AX247" s="12">
        <v>0</v>
      </c>
      <c r="AY247" s="12">
        <v>34</v>
      </c>
      <c r="AZ247" s="12">
        <v>0</v>
      </c>
      <c r="BA247" s="12" t="s">
        <v>1078</v>
      </c>
      <c r="BB247" s="12"/>
      <c r="BC247" s="12" t="s">
        <v>6306</v>
      </c>
      <c r="BD247" s="12"/>
      <c r="BE247" s="12" t="s">
        <v>2291</v>
      </c>
      <c r="BF247" s="12"/>
      <c r="BG247" s="12"/>
      <c r="BH247" s="12"/>
      <c r="BI247" s="12"/>
      <c r="BJ247" s="12"/>
      <c r="BK247" s="12"/>
      <c r="BL247" s="12" t="s">
        <v>2292</v>
      </c>
      <c r="BM247" s="12" t="s">
        <v>2292</v>
      </c>
      <c r="BN247" s="12" t="s">
        <v>2292</v>
      </c>
      <c r="BO247" s="12" t="s">
        <v>2291</v>
      </c>
      <c r="BP247" s="12"/>
      <c r="BQ247" s="12"/>
      <c r="BR247" s="12"/>
      <c r="BS247" s="12"/>
      <c r="BT247" s="12"/>
      <c r="BU247" s="12"/>
      <c r="BV247" s="12"/>
      <c r="BW247" s="12"/>
      <c r="BX247" s="12"/>
      <c r="BY247" s="13" t="s">
        <v>313</v>
      </c>
      <c r="BZ247" s="13" t="s">
        <v>6170</v>
      </c>
      <c r="CA247" s="13" t="s">
        <v>6170</v>
      </c>
      <c r="CB247" s="13" t="s">
        <v>6197</v>
      </c>
      <c r="CC247" s="13"/>
      <c r="CD247" s="13" t="s">
        <v>6198</v>
      </c>
      <c r="CE247" s="13"/>
      <c r="CF247" s="13"/>
    </row>
    <row r="248" spans="1:2328" ht="18.600000000000001" customHeight="1" x14ac:dyDescent="0.25">
      <c r="A248" s="60" t="s">
        <v>89</v>
      </c>
      <c r="B248" s="2" t="s">
        <v>335</v>
      </c>
      <c r="C248" s="3" t="s">
        <v>3084</v>
      </c>
      <c r="D248" s="12" t="s">
        <v>3086</v>
      </c>
      <c r="E248" s="12" t="s">
        <v>3085</v>
      </c>
      <c r="F248" s="12" t="s">
        <v>4429</v>
      </c>
      <c r="G248" s="25">
        <v>14218</v>
      </c>
      <c r="H248" s="25">
        <v>10855</v>
      </c>
      <c r="I248" s="25">
        <v>272</v>
      </c>
      <c r="J248" s="25">
        <v>2835</v>
      </c>
      <c r="K248" s="25">
        <v>5925</v>
      </c>
      <c r="L248" s="25">
        <v>9388</v>
      </c>
      <c r="M248" s="25">
        <v>15313</v>
      </c>
      <c r="N248" s="31">
        <v>0.39</v>
      </c>
      <c r="O248" s="25">
        <v>752</v>
      </c>
      <c r="P248" s="25">
        <v>0</v>
      </c>
      <c r="Q248" s="25">
        <v>144</v>
      </c>
      <c r="R248" s="25">
        <v>26</v>
      </c>
      <c r="S248" s="25">
        <v>8</v>
      </c>
      <c r="T248" s="25">
        <v>52</v>
      </c>
      <c r="U248" s="61">
        <v>26</v>
      </c>
      <c r="V248" s="58">
        <v>5.0000000000000001E-4</v>
      </c>
      <c r="W248" s="33">
        <v>5.0000000000000001E-4</v>
      </c>
      <c r="X248" s="33">
        <v>1.1000000000000001E-3</v>
      </c>
      <c r="Y248" s="33">
        <v>4.0000000000000002E-4</v>
      </c>
      <c r="Z248" s="33">
        <v>5.9999999999999995E-4</v>
      </c>
      <c r="AA248" s="33">
        <v>2.0000000000000001E-4</v>
      </c>
      <c r="AB248" s="25">
        <v>715</v>
      </c>
      <c r="AC248" s="25">
        <v>436</v>
      </c>
      <c r="AD248" s="25">
        <v>28</v>
      </c>
      <c r="AE248" s="25">
        <v>218</v>
      </c>
      <c r="AF248" s="25">
        <v>22</v>
      </c>
      <c r="AG248" s="25">
        <v>4</v>
      </c>
      <c r="AH248" s="25">
        <v>7</v>
      </c>
      <c r="AI248" s="12">
        <v>1.63</v>
      </c>
      <c r="AJ248" s="25">
        <v>39431</v>
      </c>
      <c r="AK248" s="25">
        <v>1425</v>
      </c>
      <c r="AL248" s="33">
        <v>3.7499999999999999E-2</v>
      </c>
      <c r="AM248" s="3" t="s">
        <v>3084</v>
      </c>
      <c r="AN248" s="12" t="s">
        <v>3085</v>
      </c>
      <c r="AO248" s="12" t="s">
        <v>3085</v>
      </c>
      <c r="AP248" s="12" t="str">
        <f>"486827294741606"</f>
        <v>486827294741606</v>
      </c>
      <c r="AQ248" s="12" t="s">
        <v>3086</v>
      </c>
      <c r="AR248" s="12" t="s">
        <v>1076</v>
      </c>
      <c r="AS248" s="12" t="s">
        <v>3087</v>
      </c>
      <c r="AT248" s="12"/>
      <c r="AU248" s="12" t="s">
        <v>324</v>
      </c>
      <c r="AV248" s="12"/>
      <c r="AW248" s="12"/>
      <c r="AX248" s="12">
        <v>0</v>
      </c>
      <c r="AY248" s="12">
        <v>180</v>
      </c>
      <c r="AZ248" s="12">
        <v>0</v>
      </c>
      <c r="BA248" s="12" t="s">
        <v>3088</v>
      </c>
      <c r="BB248" s="12" t="s">
        <v>7393</v>
      </c>
      <c r="BC248" s="12" t="s">
        <v>7394</v>
      </c>
      <c r="BD248" s="12"/>
      <c r="BE248" s="12" t="s">
        <v>2291</v>
      </c>
      <c r="BF248" s="12"/>
      <c r="BG248" s="12"/>
      <c r="BH248" s="12"/>
      <c r="BI248" s="12"/>
      <c r="BJ248" s="12"/>
      <c r="BK248" s="12" t="s">
        <v>6448</v>
      </c>
      <c r="BL248" s="12" t="s">
        <v>2292</v>
      </c>
      <c r="BM248" s="12" t="s">
        <v>2292</v>
      </c>
      <c r="BN248" s="12" t="s">
        <v>2292</v>
      </c>
      <c r="BO248" s="12" t="s">
        <v>2291</v>
      </c>
      <c r="BP248" s="12"/>
      <c r="BQ248" s="12"/>
      <c r="BR248" s="12"/>
      <c r="BS248" s="12"/>
      <c r="BT248" s="12" t="s">
        <v>3089</v>
      </c>
      <c r="BU248" s="12"/>
      <c r="BV248" s="12"/>
      <c r="BW248" s="12" t="s">
        <v>3090</v>
      </c>
      <c r="BX248" s="12"/>
      <c r="BY248" s="13" t="s">
        <v>313</v>
      </c>
      <c r="BZ248" s="13" t="s">
        <v>6170</v>
      </c>
      <c r="CA248" s="13" t="s">
        <v>6170</v>
      </c>
      <c r="CB248" s="13" t="s">
        <v>6201</v>
      </c>
      <c r="CC248" s="13"/>
      <c r="CD248" s="13" t="s">
        <v>6198</v>
      </c>
      <c r="CE248" s="13"/>
      <c r="CF248" s="13"/>
    </row>
    <row r="249" spans="1:2328" ht="18.600000000000001" customHeight="1" x14ac:dyDescent="0.25">
      <c r="A249" s="60" t="s">
        <v>91</v>
      </c>
      <c r="B249" s="2" t="s">
        <v>1083</v>
      </c>
      <c r="C249" s="3" t="s">
        <v>2911</v>
      </c>
      <c r="D249" s="12" t="s">
        <v>1081</v>
      </c>
      <c r="E249" s="12" t="s">
        <v>1080</v>
      </c>
      <c r="F249" s="12" t="s">
        <v>4315</v>
      </c>
      <c r="G249" s="25">
        <v>7999</v>
      </c>
      <c r="H249" s="25">
        <v>6470</v>
      </c>
      <c r="I249" s="25">
        <v>67</v>
      </c>
      <c r="J249" s="25">
        <v>1148</v>
      </c>
      <c r="K249" s="25">
        <v>0</v>
      </c>
      <c r="L249" s="25">
        <v>0</v>
      </c>
      <c r="M249" s="25">
        <v>0</v>
      </c>
      <c r="N249" s="31">
        <v>0</v>
      </c>
      <c r="O249" s="25">
        <v>0</v>
      </c>
      <c r="P249" s="25">
        <v>0</v>
      </c>
      <c r="Q249" s="25">
        <v>259</v>
      </c>
      <c r="R249" s="25">
        <v>28</v>
      </c>
      <c r="S249" s="25">
        <v>15</v>
      </c>
      <c r="T249" s="25">
        <v>0</v>
      </c>
      <c r="U249" s="61">
        <v>12</v>
      </c>
      <c r="V249" s="58">
        <v>8.6E-3</v>
      </c>
      <c r="W249" s="33">
        <v>8.6E-3</v>
      </c>
      <c r="X249" s="12" t="s">
        <v>3926</v>
      </c>
      <c r="Y249" s="12" t="s">
        <v>3926</v>
      </c>
      <c r="Z249" s="12" t="s">
        <v>3926</v>
      </c>
      <c r="AA249" s="12" t="s">
        <v>3926</v>
      </c>
      <c r="AB249" s="25">
        <v>61</v>
      </c>
      <c r="AC249" s="25">
        <v>61</v>
      </c>
      <c r="AD249" s="25">
        <v>0</v>
      </c>
      <c r="AE249" s="25">
        <v>0</v>
      </c>
      <c r="AF249" s="25">
        <v>0</v>
      </c>
      <c r="AG249" s="25">
        <v>0</v>
      </c>
      <c r="AH249" s="25">
        <v>0</v>
      </c>
      <c r="AI249" s="12">
        <v>0.14000000000000001</v>
      </c>
      <c r="AJ249" s="25">
        <v>16018</v>
      </c>
      <c r="AK249" s="25">
        <v>1297</v>
      </c>
      <c r="AL249" s="33">
        <v>8.8099999999999998E-2</v>
      </c>
      <c r="AM249" s="3" t="s">
        <v>2911</v>
      </c>
      <c r="AN249" s="12" t="s">
        <v>1080</v>
      </c>
      <c r="AO249" s="12" t="s">
        <v>1080</v>
      </c>
      <c r="AP249" s="12" t="str">
        <f>"762366847133973"</f>
        <v>762366847133973</v>
      </c>
      <c r="AQ249" s="12" t="s">
        <v>1081</v>
      </c>
      <c r="AR249" s="12" t="s">
        <v>1082</v>
      </c>
      <c r="AS249" s="12" t="s">
        <v>2912</v>
      </c>
      <c r="AT249" s="12" t="s">
        <v>2913</v>
      </c>
      <c r="AU249" s="12" t="s">
        <v>309</v>
      </c>
      <c r="AV249" s="12"/>
      <c r="AW249" s="12"/>
      <c r="AX249" s="12">
        <v>0</v>
      </c>
      <c r="AY249" s="12">
        <v>44</v>
      </c>
      <c r="AZ249" s="12">
        <v>0</v>
      </c>
      <c r="BA249" s="12" t="s">
        <v>256</v>
      </c>
      <c r="BB249" s="12"/>
      <c r="BC249" s="12" t="s">
        <v>7139</v>
      </c>
      <c r="BD249" s="12"/>
      <c r="BE249" s="12" t="s">
        <v>2291</v>
      </c>
      <c r="BF249" s="12"/>
      <c r="BG249" s="12"/>
      <c r="BH249" s="12"/>
      <c r="BI249" s="12"/>
      <c r="BJ249" s="12"/>
      <c r="BK249" s="12"/>
      <c r="BL249" s="12" t="s">
        <v>2292</v>
      </c>
      <c r="BM249" s="12" t="s">
        <v>2292</v>
      </c>
      <c r="BN249" s="12" t="s">
        <v>2292</v>
      </c>
      <c r="BO249" s="12" t="s">
        <v>2292</v>
      </c>
      <c r="BP249" s="12"/>
      <c r="BQ249" s="12"/>
      <c r="BR249" s="12"/>
      <c r="BS249" s="12"/>
      <c r="BT249" s="12"/>
      <c r="BU249" s="12"/>
      <c r="BV249" s="12"/>
      <c r="BW249" s="12"/>
      <c r="BX249" s="12"/>
      <c r="BY249" s="13" t="s">
        <v>313</v>
      </c>
      <c r="BZ249" s="13" t="s">
        <v>6170</v>
      </c>
      <c r="CA249" s="13" t="s">
        <v>6170</v>
      </c>
      <c r="CB249" s="13" t="s">
        <v>312</v>
      </c>
      <c r="CC249" s="13"/>
      <c r="CD249" s="13" t="s">
        <v>6198</v>
      </c>
      <c r="CE249" s="13"/>
      <c r="CF249" s="13"/>
    </row>
    <row r="250" spans="1:2328" ht="18.600000000000001" customHeight="1" x14ac:dyDescent="0.25">
      <c r="A250" s="60" t="s">
        <v>91</v>
      </c>
      <c r="B250" s="2" t="s">
        <v>314</v>
      </c>
      <c r="C250" s="3" t="s">
        <v>2897</v>
      </c>
      <c r="D250" s="12" t="s">
        <v>1084</v>
      </c>
      <c r="E250" s="12" t="s">
        <v>92</v>
      </c>
      <c r="F250" s="12" t="s">
        <v>4302</v>
      </c>
      <c r="G250" s="25">
        <v>54745</v>
      </c>
      <c r="H250" s="25">
        <v>42484</v>
      </c>
      <c r="I250" s="25">
        <v>493</v>
      </c>
      <c r="J250" s="25">
        <v>9897</v>
      </c>
      <c r="K250" s="25">
        <v>5719</v>
      </c>
      <c r="L250" s="25">
        <v>4889</v>
      </c>
      <c r="M250" s="25">
        <v>10608</v>
      </c>
      <c r="N250" s="31">
        <v>0.54</v>
      </c>
      <c r="O250" s="25">
        <v>0</v>
      </c>
      <c r="P250" s="25">
        <v>1772</v>
      </c>
      <c r="Q250" s="25">
        <v>1515</v>
      </c>
      <c r="R250" s="25">
        <v>78</v>
      </c>
      <c r="S250" s="25">
        <v>184</v>
      </c>
      <c r="T250" s="25">
        <v>7</v>
      </c>
      <c r="U250" s="61">
        <v>87</v>
      </c>
      <c r="V250" s="58">
        <v>1.5E-3</v>
      </c>
      <c r="W250" s="33">
        <v>1.6999999999999999E-3</v>
      </c>
      <c r="X250" s="33">
        <v>2.9999999999999997E-4</v>
      </c>
      <c r="Y250" s="33">
        <v>2.9999999999999997E-4</v>
      </c>
      <c r="Z250" s="33">
        <v>1.4E-3</v>
      </c>
      <c r="AA250" s="33">
        <v>8.0000000000000004E-4</v>
      </c>
      <c r="AB250" s="25">
        <v>2168</v>
      </c>
      <c r="AC250" s="25">
        <v>1830</v>
      </c>
      <c r="AD250" s="25">
        <v>16</v>
      </c>
      <c r="AE250" s="25">
        <v>274</v>
      </c>
      <c r="AF250" s="25">
        <v>43</v>
      </c>
      <c r="AG250" s="25">
        <v>0</v>
      </c>
      <c r="AH250" s="25">
        <v>5</v>
      </c>
      <c r="AI250" s="12">
        <v>4.9400000000000004</v>
      </c>
      <c r="AJ250" s="25">
        <v>18451</v>
      </c>
      <c r="AK250" s="25">
        <v>3873</v>
      </c>
      <c r="AL250" s="33">
        <v>0.26569999999999999</v>
      </c>
      <c r="AM250" s="3" t="s">
        <v>2897</v>
      </c>
      <c r="AN250" s="12" t="s">
        <v>92</v>
      </c>
      <c r="AO250" s="12" t="s">
        <v>92</v>
      </c>
      <c r="AP250" s="12" t="str">
        <f>"174022165989770"</f>
        <v>174022165989770</v>
      </c>
      <c r="AQ250" s="12" t="s">
        <v>1084</v>
      </c>
      <c r="AR250" s="12" t="s">
        <v>1085</v>
      </c>
      <c r="AS250" s="12" t="s">
        <v>1086</v>
      </c>
      <c r="AT250" s="12"/>
      <c r="AU250" s="12" t="s">
        <v>324</v>
      </c>
      <c r="AV250" s="12"/>
      <c r="AW250" s="12">
        <v>1968</v>
      </c>
      <c r="AX250" s="12">
        <v>0</v>
      </c>
      <c r="AY250" s="12">
        <v>385</v>
      </c>
      <c r="AZ250" s="12">
        <v>0</v>
      </c>
      <c r="BA250" s="12" t="s">
        <v>1087</v>
      </c>
      <c r="BB250" s="12" t="s">
        <v>7100</v>
      </c>
      <c r="BC250" s="12" t="s">
        <v>7101</v>
      </c>
      <c r="BD250" s="12"/>
      <c r="BE250" s="12" t="s">
        <v>2291</v>
      </c>
      <c r="BF250" s="12"/>
      <c r="BG250" s="12"/>
      <c r="BH250" s="12"/>
      <c r="BI250" s="12" t="s">
        <v>4621</v>
      </c>
      <c r="BJ250" s="12"/>
      <c r="BK250" s="12" t="s">
        <v>6664</v>
      </c>
      <c r="BL250" s="12" t="s">
        <v>2292</v>
      </c>
      <c r="BM250" s="12" t="s">
        <v>2292</v>
      </c>
      <c r="BN250" s="12" t="s">
        <v>2292</v>
      </c>
      <c r="BO250" s="12" t="s">
        <v>2292</v>
      </c>
      <c r="BP250" s="12"/>
      <c r="BQ250" s="12"/>
      <c r="BR250" s="12"/>
      <c r="BS250" s="12"/>
      <c r="BT250" s="12" t="s">
        <v>2898</v>
      </c>
      <c r="BU250" s="12"/>
      <c r="BV250" s="12"/>
      <c r="BW250" s="12" t="s">
        <v>5986</v>
      </c>
      <c r="BX250" s="12"/>
      <c r="BY250" s="13" t="s">
        <v>313</v>
      </c>
      <c r="BZ250" s="13" t="s">
        <v>6172</v>
      </c>
      <c r="CA250" s="13" t="s">
        <v>6170</v>
      </c>
      <c r="CB250" s="13" t="s">
        <v>6197</v>
      </c>
      <c r="CC250" s="13"/>
      <c r="CD250" s="13" t="s">
        <v>6198</v>
      </c>
      <c r="CE250" s="13"/>
      <c r="CF250" s="13"/>
    </row>
    <row r="251" spans="1:2328" ht="18.600000000000001" customHeight="1" x14ac:dyDescent="0.25">
      <c r="A251" s="41" t="s">
        <v>91</v>
      </c>
      <c r="B251" s="5" t="s">
        <v>315</v>
      </c>
      <c r="C251" s="10" t="s">
        <v>4776</v>
      </c>
      <c r="D251" s="12" t="s">
        <v>3515</v>
      </c>
      <c r="E251" s="12" t="s">
        <v>4752</v>
      </c>
      <c r="F251" s="12" t="s">
        <v>4230</v>
      </c>
      <c r="G251" s="25">
        <v>151</v>
      </c>
      <c r="H251" s="25">
        <v>136</v>
      </c>
      <c r="I251" s="25">
        <v>1</v>
      </c>
      <c r="J251" s="25">
        <v>10</v>
      </c>
      <c r="K251" s="25">
        <v>0</v>
      </c>
      <c r="L251" s="25">
        <v>0</v>
      </c>
      <c r="M251" s="25">
        <v>0</v>
      </c>
      <c r="N251" s="31">
        <v>0</v>
      </c>
      <c r="O251" s="25">
        <v>0</v>
      </c>
      <c r="P251" s="25">
        <v>0</v>
      </c>
      <c r="Q251" s="25">
        <v>4</v>
      </c>
      <c r="R251" s="25">
        <v>0</v>
      </c>
      <c r="S251" s="25">
        <v>0</v>
      </c>
      <c r="T251" s="25">
        <v>0</v>
      </c>
      <c r="U251" s="61">
        <v>0</v>
      </c>
      <c r="V251" s="58">
        <v>0</v>
      </c>
      <c r="W251" s="33">
        <v>5.0000000000000001E-4</v>
      </c>
      <c r="X251" s="33">
        <v>0</v>
      </c>
      <c r="Y251" s="33">
        <v>0</v>
      </c>
      <c r="Z251" s="12" t="s">
        <v>3926</v>
      </c>
      <c r="AA251" s="33">
        <v>0</v>
      </c>
      <c r="AB251" s="25">
        <v>1990</v>
      </c>
      <c r="AC251" s="25">
        <v>8</v>
      </c>
      <c r="AD251" s="25">
        <v>839</v>
      </c>
      <c r="AE251" s="25">
        <v>1122</v>
      </c>
      <c r="AF251" s="25">
        <v>0</v>
      </c>
      <c r="AG251" s="25">
        <v>0</v>
      </c>
      <c r="AH251" s="25">
        <v>21</v>
      </c>
      <c r="AI251" s="12">
        <v>4.53</v>
      </c>
      <c r="AJ251" s="25">
        <v>1932</v>
      </c>
      <c r="AK251" s="25">
        <v>47</v>
      </c>
      <c r="AL251" s="33">
        <v>2.4899999999999999E-2</v>
      </c>
      <c r="AM251" s="10" t="s">
        <v>4776</v>
      </c>
      <c r="AN251" s="12" t="s">
        <v>4752</v>
      </c>
      <c r="AO251" s="12" t="s">
        <v>4752</v>
      </c>
      <c r="AP251" s="12" t="str">
        <f>"428608563843624"</f>
        <v>428608563843624</v>
      </c>
      <c r="AQ251" s="12" t="s">
        <v>3515</v>
      </c>
      <c r="AR251" s="12" t="s">
        <v>4826</v>
      </c>
      <c r="AS251" s="12" t="s">
        <v>3642</v>
      </c>
      <c r="AT251" s="12"/>
      <c r="AU251" s="12" t="s">
        <v>324</v>
      </c>
      <c r="AV251" s="12"/>
      <c r="AW251" s="12"/>
      <c r="AX251" s="12">
        <v>0</v>
      </c>
      <c r="AY251" s="12">
        <v>1</v>
      </c>
      <c r="AZ251" s="12">
        <v>0</v>
      </c>
      <c r="BA251" s="12" t="s">
        <v>4827</v>
      </c>
      <c r="BB251" s="12" t="s">
        <v>6010</v>
      </c>
      <c r="BC251" s="12" t="s">
        <v>7212</v>
      </c>
      <c r="BD251" s="12"/>
      <c r="BE251" s="12" t="s">
        <v>2291</v>
      </c>
      <c r="BF251" s="12"/>
      <c r="BG251" s="12"/>
      <c r="BH251" s="12"/>
      <c r="BI251" s="12" t="s">
        <v>4828</v>
      </c>
      <c r="BJ251" s="12"/>
      <c r="BK251" s="12" t="s">
        <v>6664</v>
      </c>
      <c r="BL251" s="12" t="s">
        <v>2292</v>
      </c>
      <c r="BM251" s="12" t="s">
        <v>2292</v>
      </c>
      <c r="BN251" s="12" t="s">
        <v>2292</v>
      </c>
      <c r="BO251" s="12" t="s">
        <v>2292</v>
      </c>
      <c r="BP251" s="12" t="s">
        <v>3321</v>
      </c>
      <c r="BQ251" s="12"/>
      <c r="BR251" s="12"/>
      <c r="BS251" s="12"/>
      <c r="BT251" s="12"/>
      <c r="BU251" s="12"/>
      <c r="BV251" s="12"/>
      <c r="BW251" s="12" t="s">
        <v>3322</v>
      </c>
      <c r="BX251" s="12"/>
      <c r="BY251" s="13" t="s">
        <v>313</v>
      </c>
      <c r="BZ251" s="13" t="s">
        <v>6172</v>
      </c>
      <c r="CA251" s="13" t="s">
        <v>6170</v>
      </c>
      <c r="CB251" s="13" t="s">
        <v>312</v>
      </c>
      <c r="CC251" s="13"/>
      <c r="CD251" s="13" t="s">
        <v>6198</v>
      </c>
      <c r="CE251" s="13"/>
      <c r="CF251" s="13"/>
    </row>
    <row r="252" spans="1:2328" ht="18.600000000000001" customHeight="1" x14ac:dyDescent="0.25">
      <c r="A252" s="60" t="s">
        <v>91</v>
      </c>
      <c r="B252" s="2" t="s">
        <v>335</v>
      </c>
      <c r="C252" s="3" t="s">
        <v>3129</v>
      </c>
      <c r="D252" s="12" t="s">
        <v>1088</v>
      </c>
      <c r="E252" s="12"/>
      <c r="F252" s="12" t="s">
        <v>4471</v>
      </c>
      <c r="G252" s="25">
        <v>0</v>
      </c>
      <c r="H252" s="25">
        <v>0</v>
      </c>
      <c r="I252" s="25">
        <v>0</v>
      </c>
      <c r="J252" s="25">
        <v>0</v>
      </c>
      <c r="K252" s="25">
        <v>0</v>
      </c>
      <c r="L252" s="25">
        <v>0</v>
      </c>
      <c r="M252" s="25">
        <v>0</v>
      </c>
      <c r="N252" s="31">
        <v>0</v>
      </c>
      <c r="O252" s="25">
        <v>0</v>
      </c>
      <c r="P252" s="25">
        <v>0</v>
      </c>
      <c r="Q252" s="25">
        <v>0</v>
      </c>
      <c r="R252" s="25">
        <v>0</v>
      </c>
      <c r="S252" s="25">
        <v>0</v>
      </c>
      <c r="T252" s="25">
        <v>0</v>
      </c>
      <c r="U252" s="61">
        <v>0</v>
      </c>
      <c r="V252" s="59"/>
      <c r="W252" s="12" t="s">
        <v>3926</v>
      </c>
      <c r="X252" s="12" t="s">
        <v>3926</v>
      </c>
      <c r="Y252" s="12" t="s">
        <v>3926</v>
      </c>
      <c r="Z252" s="12" t="s">
        <v>3926</v>
      </c>
      <c r="AA252" s="12" t="s">
        <v>3926</v>
      </c>
      <c r="AB252" s="25" t="s">
        <v>3927</v>
      </c>
      <c r="AC252" s="25">
        <v>0</v>
      </c>
      <c r="AD252" s="25">
        <v>0</v>
      </c>
      <c r="AE252" s="25">
        <v>0</v>
      </c>
      <c r="AF252" s="25">
        <v>0</v>
      </c>
      <c r="AG252" s="25">
        <v>0</v>
      </c>
      <c r="AH252" s="25">
        <v>0</v>
      </c>
      <c r="AI252" s="12">
        <v>0</v>
      </c>
      <c r="AJ252" s="25">
        <v>263</v>
      </c>
      <c r="AK252" s="25">
        <v>15</v>
      </c>
      <c r="AL252" s="33">
        <v>6.0499999999999998E-2</v>
      </c>
      <c r="AM252" s="3" t="s">
        <v>3129</v>
      </c>
      <c r="AN252" s="12" t="s">
        <v>5381</v>
      </c>
      <c r="AO252" s="12"/>
      <c r="AP252" s="12" t="str">
        <f>"434954336556544"</f>
        <v>434954336556544</v>
      </c>
      <c r="AQ252" s="12" t="s">
        <v>1088</v>
      </c>
      <c r="AR252" s="12" t="s">
        <v>1089</v>
      </c>
      <c r="AS252" s="12" t="s">
        <v>1090</v>
      </c>
      <c r="AT252" s="12"/>
      <c r="AU252" s="12" t="s">
        <v>324</v>
      </c>
      <c r="AV252" s="12"/>
      <c r="AW252" s="12"/>
      <c r="AX252" s="12">
        <v>0</v>
      </c>
      <c r="AY252" s="12">
        <v>2</v>
      </c>
      <c r="AZ252" s="12">
        <v>0</v>
      </c>
      <c r="BA252" s="12" t="s">
        <v>1091</v>
      </c>
      <c r="BB252" s="12" t="s">
        <v>5913</v>
      </c>
      <c r="BC252" s="12" t="s">
        <v>6902</v>
      </c>
      <c r="BD252" s="12"/>
      <c r="BE252" s="12" t="s">
        <v>2291</v>
      </c>
      <c r="BF252" s="12"/>
      <c r="BG252" s="12"/>
      <c r="BH252" s="12"/>
      <c r="BI252" s="12"/>
      <c r="BJ252" s="12"/>
      <c r="BK252" s="12"/>
      <c r="BL252" s="12" t="s">
        <v>2292</v>
      </c>
      <c r="BM252" s="12" t="s">
        <v>2292</v>
      </c>
      <c r="BN252" s="12" t="s">
        <v>2292</v>
      </c>
      <c r="BO252" s="12" t="s">
        <v>2292</v>
      </c>
      <c r="BP252" s="12"/>
      <c r="BQ252" s="12"/>
      <c r="BR252" s="12"/>
      <c r="BS252" s="12"/>
      <c r="BT252" s="12" t="s">
        <v>3110</v>
      </c>
      <c r="BU252" s="12"/>
      <c r="BV252" s="12"/>
      <c r="BW252" s="12" t="s">
        <v>1092</v>
      </c>
      <c r="BX252" s="12"/>
      <c r="BY252" s="14" t="s">
        <v>1093</v>
      </c>
      <c r="BZ252" s="13" t="s">
        <v>6170</v>
      </c>
      <c r="CA252" s="13" t="s">
        <v>6170</v>
      </c>
      <c r="CB252" s="13" t="s">
        <v>312</v>
      </c>
      <c r="CC252" s="13"/>
      <c r="CD252" s="13" t="s">
        <v>6198</v>
      </c>
      <c r="CE252" s="13"/>
      <c r="CF252" s="13"/>
    </row>
    <row r="253" spans="1:2328" ht="18.600000000000001" customHeight="1" x14ac:dyDescent="0.25">
      <c r="A253" s="35" t="s">
        <v>93</v>
      </c>
      <c r="B253" s="6" t="s">
        <v>314</v>
      </c>
      <c r="C253" s="10" t="s">
        <v>5724</v>
      </c>
      <c r="D253" s="12" t="s">
        <v>6024</v>
      </c>
      <c r="E253" s="12" t="s">
        <v>6023</v>
      </c>
      <c r="F253" s="12" t="s">
        <v>6084</v>
      </c>
      <c r="G253" s="25">
        <v>7891</v>
      </c>
      <c r="H253" s="25">
        <v>6102</v>
      </c>
      <c r="I253" s="25">
        <v>291</v>
      </c>
      <c r="J253" s="25">
        <v>1058</v>
      </c>
      <c r="K253" s="25">
        <v>16239</v>
      </c>
      <c r="L253" s="25">
        <v>65333</v>
      </c>
      <c r="M253" s="25">
        <v>81572</v>
      </c>
      <c r="N253" s="31">
        <v>0.2</v>
      </c>
      <c r="O253" s="25">
        <v>3004</v>
      </c>
      <c r="P253" s="25">
        <v>49176</v>
      </c>
      <c r="Q253" s="25">
        <v>337</v>
      </c>
      <c r="R253" s="25">
        <v>37</v>
      </c>
      <c r="S253" s="25">
        <v>38</v>
      </c>
      <c r="T253" s="25">
        <v>16</v>
      </c>
      <c r="U253" s="61">
        <v>12</v>
      </c>
      <c r="V253" s="58">
        <v>0.01</v>
      </c>
      <c r="W253" s="33">
        <v>1.03E-2</v>
      </c>
      <c r="X253" s="33">
        <v>9.1000000000000004E-3</v>
      </c>
      <c r="Y253" s="33">
        <v>5.7999999999999996E-3</v>
      </c>
      <c r="Z253" s="33">
        <v>1.17E-2</v>
      </c>
      <c r="AA253" s="33">
        <v>6.7999999999999996E-3</v>
      </c>
      <c r="AB253" s="25">
        <v>221</v>
      </c>
      <c r="AC253" s="25">
        <v>63</v>
      </c>
      <c r="AD253" s="25">
        <v>98</v>
      </c>
      <c r="AE253" s="25">
        <v>3</v>
      </c>
      <c r="AF253" s="25">
        <v>34</v>
      </c>
      <c r="AG253" s="25">
        <v>10</v>
      </c>
      <c r="AH253" s="25">
        <v>13</v>
      </c>
      <c r="AI253" s="12">
        <v>0.5</v>
      </c>
      <c r="AJ253" s="25">
        <v>4343</v>
      </c>
      <c r="AK253" s="25">
        <v>0</v>
      </c>
      <c r="AL253" s="31">
        <v>0</v>
      </c>
      <c r="AM253" s="10" t="s">
        <v>5724</v>
      </c>
      <c r="AN253" s="12" t="s">
        <v>6023</v>
      </c>
      <c r="AO253" s="12" t="s">
        <v>6023</v>
      </c>
      <c r="AP253" s="12" t="str">
        <f>"1465830227055307"</f>
        <v>1465830227055307</v>
      </c>
      <c r="AQ253" s="12" t="s">
        <v>6024</v>
      </c>
      <c r="AR253" s="12" t="s">
        <v>6025</v>
      </c>
      <c r="AS253" s="12"/>
      <c r="AT253" s="12"/>
      <c r="AU253" s="12" t="s">
        <v>5257</v>
      </c>
      <c r="AV253" s="12" t="s">
        <v>5764</v>
      </c>
      <c r="AW253" s="12"/>
      <c r="AX253" s="12">
        <v>9</v>
      </c>
      <c r="AY253" s="12">
        <v>1655</v>
      </c>
      <c r="AZ253" s="12">
        <v>9</v>
      </c>
      <c r="BA253" s="12" t="s">
        <v>6026</v>
      </c>
      <c r="BB253" s="12" t="s">
        <v>7260</v>
      </c>
      <c r="BC253" s="12" t="s">
        <v>7261</v>
      </c>
      <c r="BD253" s="12"/>
      <c r="BE253" s="12" t="s">
        <v>2291</v>
      </c>
      <c r="BF253" s="12"/>
      <c r="BG253" s="12"/>
      <c r="BH253" s="12"/>
      <c r="BI253" s="12"/>
      <c r="BJ253" s="12"/>
      <c r="BK253" s="12"/>
      <c r="BL253" s="12" t="s">
        <v>2292</v>
      </c>
      <c r="BM253" s="12" t="s">
        <v>2292</v>
      </c>
      <c r="BN253" s="12" t="s">
        <v>2292</v>
      </c>
      <c r="BO253" s="12" t="s">
        <v>2292</v>
      </c>
      <c r="BP253" s="12"/>
      <c r="BQ253" s="12"/>
      <c r="BR253" s="12"/>
      <c r="BS253" s="12"/>
      <c r="BT253" s="12" t="s">
        <v>6027</v>
      </c>
      <c r="BU253" s="12" t="s">
        <v>326</v>
      </c>
      <c r="BV253" s="12"/>
      <c r="BW253" s="12" t="s">
        <v>6028</v>
      </c>
      <c r="BX253" s="12"/>
      <c r="BY253" s="13" t="s">
        <v>313</v>
      </c>
      <c r="BZ253" s="13" t="s">
        <v>6171</v>
      </c>
      <c r="CA253" s="13" t="s">
        <v>6170</v>
      </c>
      <c r="CB253" s="13" t="s">
        <v>312</v>
      </c>
      <c r="CC253" s="13"/>
      <c r="CD253" s="13" t="s">
        <v>6198</v>
      </c>
      <c r="CE253" s="13"/>
      <c r="CF253" s="13"/>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6"/>
      <c r="FG253" s="26"/>
      <c r="FH253" s="26"/>
      <c r="FI253" s="26"/>
      <c r="FJ253" s="26"/>
      <c r="FK253" s="26"/>
      <c r="FL253" s="26"/>
      <c r="FM253" s="26"/>
      <c r="FN253" s="26"/>
      <c r="FO253" s="26"/>
      <c r="FP253" s="26"/>
      <c r="FQ253" s="26"/>
      <c r="FR253" s="26"/>
      <c r="FS253" s="26"/>
      <c r="FT253" s="26"/>
      <c r="FU253" s="26"/>
      <c r="FV253" s="26"/>
      <c r="FW253" s="26"/>
      <c r="FX253" s="26"/>
      <c r="FY253" s="26"/>
      <c r="FZ253" s="26"/>
      <c r="GA253" s="26"/>
      <c r="GB253" s="26"/>
      <c r="GC253" s="26"/>
      <c r="GD253" s="26"/>
      <c r="GE253" s="26"/>
      <c r="GF253" s="26"/>
      <c r="GG253" s="26"/>
      <c r="GH253" s="26"/>
      <c r="GI253" s="26"/>
      <c r="GJ253" s="26"/>
      <c r="GK253" s="26"/>
      <c r="GL253" s="26"/>
      <c r="GM253" s="26"/>
      <c r="GN253" s="26"/>
      <c r="GO253" s="26"/>
      <c r="GP253" s="26"/>
      <c r="GQ253" s="26"/>
      <c r="GR253" s="26"/>
      <c r="GS253" s="26"/>
      <c r="GT253" s="26"/>
      <c r="GU253" s="26"/>
      <c r="GV253" s="26"/>
      <c r="GW253" s="26"/>
      <c r="GX253" s="26"/>
      <c r="GY253" s="26"/>
      <c r="GZ253" s="26"/>
      <c r="HA253" s="26"/>
      <c r="HB253" s="26"/>
      <c r="HC253" s="26"/>
      <c r="HD253" s="26"/>
      <c r="HE253" s="26"/>
      <c r="HF253" s="26"/>
      <c r="HG253" s="26"/>
      <c r="HH253" s="26"/>
      <c r="HI253" s="26"/>
      <c r="HJ253" s="26"/>
      <c r="HK253" s="26"/>
      <c r="HL253" s="26"/>
      <c r="HM253" s="26"/>
      <c r="HN253" s="26"/>
      <c r="HO253" s="26"/>
      <c r="HP253" s="26"/>
      <c r="HQ253" s="26"/>
      <c r="HR253" s="26"/>
      <c r="HS253" s="26"/>
      <c r="HT253" s="26"/>
      <c r="HU253" s="26"/>
      <c r="HV253" s="26"/>
      <c r="HW253" s="26"/>
      <c r="HX253" s="26"/>
      <c r="HY253" s="26"/>
      <c r="HZ253" s="26"/>
      <c r="IA253" s="26"/>
      <c r="IB253" s="26"/>
      <c r="IC253" s="26"/>
      <c r="ID253" s="26"/>
      <c r="IE253" s="26"/>
      <c r="IF253" s="26"/>
      <c r="IG253" s="26"/>
      <c r="IH253" s="26"/>
      <c r="II253" s="26"/>
      <c r="IJ253" s="26"/>
      <c r="IK253" s="26"/>
      <c r="IL253" s="26"/>
      <c r="IM253" s="26"/>
      <c r="IN253" s="26"/>
      <c r="IO253" s="26"/>
      <c r="IP253" s="26"/>
      <c r="IQ253" s="26"/>
      <c r="IR253" s="26"/>
      <c r="IS253" s="26"/>
      <c r="IT253" s="26"/>
      <c r="IU253" s="26"/>
      <c r="IV253" s="26"/>
      <c r="IW253" s="26"/>
      <c r="IX253" s="26"/>
      <c r="IY253" s="26"/>
      <c r="IZ253" s="26"/>
      <c r="JA253" s="26"/>
      <c r="JB253" s="26"/>
      <c r="JC253" s="26"/>
      <c r="JD253" s="26"/>
      <c r="JE253" s="26"/>
      <c r="JF253" s="26"/>
      <c r="JG253" s="26"/>
      <c r="JH253" s="26"/>
      <c r="JI253" s="26"/>
      <c r="JJ253" s="26"/>
      <c r="JK253" s="26"/>
      <c r="JL253" s="26"/>
      <c r="JM253" s="26"/>
      <c r="JN253" s="26"/>
      <c r="JO253" s="26"/>
      <c r="JP253" s="26"/>
      <c r="JQ253" s="26"/>
      <c r="JR253" s="26"/>
      <c r="JS253" s="26"/>
      <c r="JT253" s="26"/>
      <c r="JU253" s="26"/>
      <c r="JV253" s="26"/>
      <c r="JW253" s="26"/>
      <c r="JX253" s="26"/>
      <c r="JY253" s="26"/>
      <c r="JZ253" s="26"/>
      <c r="KA253" s="26"/>
      <c r="KB253" s="26"/>
      <c r="KC253" s="26"/>
      <c r="KD253" s="26"/>
      <c r="KE253" s="26"/>
      <c r="KF253" s="26"/>
      <c r="KG253" s="26"/>
      <c r="KH253" s="26"/>
      <c r="KI253" s="26"/>
      <c r="KJ253" s="26"/>
      <c r="KK253" s="26"/>
      <c r="KL253" s="26"/>
      <c r="KM253" s="26"/>
      <c r="KN253" s="26"/>
      <c r="KO253" s="26"/>
      <c r="KP253" s="26"/>
      <c r="KQ253" s="26"/>
      <c r="KR253" s="26"/>
      <c r="KS253" s="26"/>
      <c r="KT253" s="26"/>
      <c r="KU253" s="26"/>
      <c r="KV253" s="26"/>
      <c r="KW253" s="26"/>
      <c r="KX253" s="26"/>
      <c r="KY253" s="26"/>
      <c r="KZ253" s="26"/>
      <c r="LA253" s="26"/>
      <c r="LB253" s="26"/>
      <c r="LC253" s="26"/>
      <c r="LD253" s="26"/>
      <c r="LE253" s="26"/>
      <c r="LF253" s="26"/>
      <c r="LG253" s="26"/>
      <c r="LH253" s="26"/>
      <c r="LI253" s="26"/>
      <c r="LJ253" s="26"/>
      <c r="LK253" s="26"/>
      <c r="LL253" s="26"/>
      <c r="LM253" s="26"/>
      <c r="LN253" s="26"/>
      <c r="LO253" s="26"/>
      <c r="LP253" s="26"/>
      <c r="LQ253" s="26"/>
      <c r="LR253" s="26"/>
      <c r="LS253" s="26"/>
      <c r="LT253" s="26"/>
      <c r="LU253" s="26"/>
      <c r="LV253" s="26"/>
      <c r="LW253" s="26"/>
      <c r="LX253" s="26"/>
      <c r="LY253" s="26"/>
      <c r="LZ253" s="26"/>
      <c r="MA253" s="26"/>
      <c r="MB253" s="26"/>
      <c r="MC253" s="26"/>
      <c r="MD253" s="26"/>
      <c r="ME253" s="26"/>
      <c r="MF253" s="26"/>
      <c r="MG253" s="26"/>
      <c r="MH253" s="26"/>
      <c r="MI253" s="26"/>
      <c r="MJ253" s="26"/>
      <c r="MK253" s="26"/>
      <c r="ML253" s="26"/>
      <c r="MM253" s="26"/>
      <c r="MN253" s="26"/>
      <c r="MO253" s="26"/>
      <c r="MP253" s="26"/>
      <c r="MQ253" s="26"/>
      <c r="MR253" s="26"/>
      <c r="MS253" s="26"/>
      <c r="MT253" s="26"/>
      <c r="MU253" s="26"/>
      <c r="MV253" s="26"/>
      <c r="MW253" s="26"/>
      <c r="MX253" s="26"/>
      <c r="MY253" s="26"/>
      <c r="MZ253" s="26"/>
      <c r="NA253" s="26"/>
      <c r="NB253" s="26"/>
      <c r="NC253" s="26"/>
      <c r="ND253" s="26"/>
      <c r="NE253" s="26"/>
      <c r="NF253" s="26"/>
      <c r="NG253" s="26"/>
      <c r="NH253" s="26"/>
      <c r="NI253" s="26"/>
      <c r="NJ253" s="26"/>
      <c r="NK253" s="26"/>
      <c r="NL253" s="26"/>
      <c r="NM253" s="26"/>
      <c r="NN253" s="26"/>
      <c r="NO253" s="26"/>
      <c r="NP253" s="26"/>
      <c r="NQ253" s="26"/>
      <c r="NR253" s="26"/>
      <c r="NS253" s="26"/>
      <c r="NT253" s="26"/>
      <c r="NU253" s="26"/>
      <c r="NV253" s="26"/>
      <c r="NW253" s="26"/>
      <c r="NX253" s="26"/>
      <c r="NY253" s="26"/>
      <c r="NZ253" s="26"/>
      <c r="OA253" s="26"/>
      <c r="OB253" s="26"/>
      <c r="OC253" s="26"/>
      <c r="OD253" s="26"/>
      <c r="OE253" s="26"/>
      <c r="OF253" s="26"/>
      <c r="OG253" s="26"/>
      <c r="OH253" s="26"/>
      <c r="OI253" s="26"/>
      <c r="OJ253" s="26"/>
      <c r="OK253" s="26"/>
      <c r="OL253" s="26"/>
      <c r="OM253" s="26"/>
      <c r="ON253" s="26"/>
      <c r="OO253" s="26"/>
      <c r="OP253" s="26"/>
      <c r="OQ253" s="26"/>
      <c r="OR253" s="26"/>
      <c r="OS253" s="26"/>
      <c r="OT253" s="26"/>
      <c r="OU253" s="26"/>
      <c r="OV253" s="26"/>
      <c r="OW253" s="26"/>
      <c r="OX253" s="26"/>
      <c r="OY253" s="26"/>
      <c r="OZ253" s="26"/>
      <c r="PA253" s="26"/>
      <c r="PB253" s="26"/>
      <c r="PC253" s="26"/>
      <c r="PD253" s="26"/>
      <c r="PE253" s="26"/>
      <c r="PF253" s="26"/>
      <c r="PG253" s="26"/>
      <c r="PH253" s="26"/>
      <c r="PI253" s="26"/>
      <c r="PJ253" s="26"/>
      <c r="PK253" s="26"/>
      <c r="PL253" s="26"/>
      <c r="PM253" s="26"/>
      <c r="PN253" s="26"/>
      <c r="PO253" s="26"/>
      <c r="PP253" s="26"/>
      <c r="PQ253" s="26"/>
      <c r="PR253" s="26"/>
      <c r="PS253" s="26"/>
      <c r="PT253" s="26"/>
      <c r="PU253" s="26"/>
      <c r="PV253" s="26"/>
      <c r="PW253" s="26"/>
      <c r="PX253" s="26"/>
      <c r="PY253" s="26"/>
      <c r="PZ253" s="26"/>
      <c r="QA253" s="26"/>
      <c r="QB253" s="26"/>
      <c r="QC253" s="26"/>
      <c r="QD253" s="26"/>
      <c r="QE253" s="26"/>
      <c r="QF253" s="26"/>
      <c r="QG253" s="26"/>
      <c r="QH253" s="26"/>
      <c r="QI253" s="26"/>
      <c r="QJ253" s="26"/>
      <c r="QK253" s="26"/>
      <c r="QL253" s="26"/>
      <c r="QM253" s="26"/>
      <c r="QN253" s="26"/>
      <c r="QO253" s="26"/>
      <c r="QP253" s="26"/>
      <c r="QQ253" s="26"/>
      <c r="QR253" s="26"/>
      <c r="QS253" s="26"/>
      <c r="QT253" s="26"/>
      <c r="QU253" s="26"/>
      <c r="QV253" s="26"/>
      <c r="QW253" s="26"/>
      <c r="QX253" s="26"/>
      <c r="QY253" s="26"/>
      <c r="QZ253" s="26"/>
      <c r="RA253" s="26"/>
      <c r="RB253" s="26"/>
      <c r="RC253" s="26"/>
      <c r="RD253" s="26"/>
      <c r="RE253" s="26"/>
      <c r="RF253" s="26"/>
      <c r="RG253" s="26"/>
      <c r="RH253" s="26"/>
      <c r="RI253" s="26"/>
      <c r="RJ253" s="26"/>
      <c r="RK253" s="26"/>
      <c r="RL253" s="26"/>
      <c r="RM253" s="26"/>
      <c r="RN253" s="26"/>
      <c r="RO253" s="26"/>
      <c r="RP253" s="26"/>
      <c r="RQ253" s="26"/>
      <c r="RR253" s="26"/>
      <c r="RS253" s="26"/>
      <c r="RT253" s="26"/>
      <c r="RU253" s="26"/>
      <c r="RV253" s="26"/>
      <c r="RW253" s="26"/>
      <c r="RX253" s="26"/>
      <c r="RY253" s="26"/>
      <c r="RZ253" s="26"/>
      <c r="SA253" s="26"/>
      <c r="SB253" s="26"/>
      <c r="SC253" s="26"/>
      <c r="SD253" s="26"/>
      <c r="SE253" s="26"/>
      <c r="SF253" s="26"/>
      <c r="SG253" s="26"/>
      <c r="SH253" s="26"/>
      <c r="SI253" s="26"/>
      <c r="SJ253" s="26"/>
      <c r="SK253" s="26"/>
      <c r="SL253" s="26"/>
      <c r="SM253" s="26"/>
      <c r="SN253" s="26"/>
      <c r="SO253" s="26"/>
      <c r="SP253" s="26"/>
      <c r="SQ253" s="26"/>
      <c r="SR253" s="26"/>
      <c r="SS253" s="26"/>
      <c r="ST253" s="26"/>
      <c r="SU253" s="26"/>
      <c r="SV253" s="26"/>
      <c r="SW253" s="26"/>
      <c r="SX253" s="26"/>
      <c r="SY253" s="26"/>
      <c r="SZ253" s="26"/>
      <c r="TA253" s="26"/>
      <c r="TB253" s="26"/>
      <c r="TC253" s="26"/>
      <c r="TD253" s="26"/>
      <c r="TE253" s="26"/>
      <c r="TF253" s="26"/>
      <c r="TG253" s="26"/>
      <c r="TH253" s="26"/>
      <c r="TI253" s="26"/>
      <c r="TJ253" s="26"/>
      <c r="TK253" s="26"/>
      <c r="TL253" s="26"/>
      <c r="TM253" s="26"/>
      <c r="TN253" s="26"/>
      <c r="TO253" s="26"/>
      <c r="TP253" s="26"/>
      <c r="TQ253" s="26"/>
      <c r="TR253" s="26"/>
      <c r="TS253" s="26"/>
      <c r="TT253" s="26"/>
      <c r="TU253" s="26"/>
      <c r="TV253" s="26"/>
      <c r="TW253" s="26"/>
      <c r="TX253" s="26"/>
      <c r="TY253" s="26"/>
      <c r="TZ253" s="26"/>
      <c r="UA253" s="26"/>
      <c r="UB253" s="26"/>
      <c r="UC253" s="26"/>
      <c r="UD253" s="26"/>
      <c r="UE253" s="26"/>
      <c r="UF253" s="26"/>
      <c r="UG253" s="26"/>
      <c r="UH253" s="26"/>
      <c r="UI253" s="26"/>
      <c r="UJ253" s="26"/>
      <c r="UK253" s="26"/>
      <c r="UL253" s="26"/>
      <c r="UM253" s="26"/>
      <c r="UN253" s="26"/>
      <c r="UO253" s="26"/>
      <c r="UP253" s="26"/>
      <c r="UQ253" s="26"/>
      <c r="UR253" s="26"/>
      <c r="US253" s="26"/>
      <c r="UT253" s="26"/>
      <c r="UU253" s="26"/>
      <c r="UV253" s="26"/>
      <c r="UW253" s="26"/>
      <c r="UX253" s="26"/>
      <c r="UY253" s="26"/>
      <c r="UZ253" s="26"/>
      <c r="VA253" s="26"/>
      <c r="VB253" s="26"/>
      <c r="VC253" s="26"/>
      <c r="VD253" s="26"/>
      <c r="VE253" s="26"/>
      <c r="VF253" s="26"/>
      <c r="VG253" s="26"/>
      <c r="VH253" s="26"/>
      <c r="VI253" s="26"/>
      <c r="VJ253" s="26"/>
      <c r="VK253" s="26"/>
      <c r="VL253" s="26"/>
      <c r="VM253" s="26"/>
      <c r="VN253" s="26"/>
      <c r="VO253" s="26"/>
      <c r="VP253" s="26"/>
      <c r="VQ253" s="26"/>
      <c r="VR253" s="26"/>
      <c r="VS253" s="26"/>
      <c r="VT253" s="26"/>
      <c r="VU253" s="26"/>
      <c r="VV253" s="26"/>
      <c r="VW253" s="26"/>
      <c r="VX253" s="26"/>
      <c r="VY253" s="26"/>
      <c r="VZ253" s="26"/>
      <c r="WA253" s="26"/>
      <c r="WB253" s="26"/>
      <c r="WC253" s="26"/>
      <c r="WD253" s="26"/>
      <c r="WE253" s="26"/>
      <c r="WF253" s="26"/>
      <c r="WG253" s="26"/>
      <c r="WH253" s="26"/>
      <c r="WI253" s="26"/>
      <c r="WJ253" s="26"/>
      <c r="WK253" s="26"/>
      <c r="WL253" s="26"/>
      <c r="WM253" s="26"/>
      <c r="WN253" s="26"/>
      <c r="WO253" s="26"/>
      <c r="WP253" s="26"/>
      <c r="WQ253" s="26"/>
      <c r="WR253" s="26"/>
      <c r="WS253" s="26"/>
      <c r="WT253" s="26"/>
      <c r="WU253" s="26"/>
      <c r="WV253" s="26"/>
      <c r="WW253" s="26"/>
      <c r="WX253" s="26"/>
      <c r="WY253" s="26"/>
      <c r="WZ253" s="26"/>
      <c r="XA253" s="26"/>
      <c r="XB253" s="26"/>
      <c r="XC253" s="26"/>
      <c r="XD253" s="26"/>
      <c r="XE253" s="26"/>
      <c r="XF253" s="26"/>
      <c r="XG253" s="26"/>
      <c r="XH253" s="26"/>
      <c r="XI253" s="26"/>
      <c r="XJ253" s="26"/>
      <c r="XK253" s="26"/>
      <c r="XL253" s="26"/>
      <c r="XM253" s="26"/>
      <c r="XN253" s="26"/>
      <c r="XO253" s="26"/>
      <c r="XP253" s="26"/>
      <c r="XQ253" s="26"/>
      <c r="XR253" s="26"/>
      <c r="XS253" s="26"/>
      <c r="XT253" s="26"/>
      <c r="XU253" s="26"/>
      <c r="XV253" s="26"/>
      <c r="XW253" s="26"/>
      <c r="XX253" s="26"/>
      <c r="XY253" s="26"/>
      <c r="XZ253" s="26"/>
      <c r="YA253" s="26"/>
      <c r="YB253" s="26"/>
      <c r="YC253" s="26"/>
      <c r="YD253" s="26"/>
      <c r="YE253" s="26"/>
      <c r="YF253" s="26"/>
      <c r="YG253" s="26"/>
      <c r="YH253" s="26"/>
      <c r="YI253" s="26"/>
      <c r="YJ253" s="26"/>
      <c r="YK253" s="26"/>
      <c r="YL253" s="26"/>
      <c r="YM253" s="26"/>
      <c r="YN253" s="26"/>
      <c r="YO253" s="26"/>
      <c r="YP253" s="26"/>
      <c r="YQ253" s="26"/>
      <c r="YR253" s="26"/>
      <c r="YS253" s="26"/>
      <c r="YT253" s="26"/>
      <c r="YU253" s="26"/>
      <c r="YV253" s="26"/>
      <c r="YW253" s="26"/>
      <c r="YX253" s="26"/>
      <c r="YY253" s="26"/>
      <c r="YZ253" s="26"/>
      <c r="ZA253" s="26"/>
      <c r="ZB253" s="26"/>
      <c r="ZC253" s="26"/>
      <c r="ZD253" s="26"/>
      <c r="ZE253" s="26"/>
      <c r="ZF253" s="26"/>
      <c r="ZG253" s="26"/>
      <c r="ZH253" s="26"/>
      <c r="ZI253" s="26"/>
      <c r="ZJ253" s="26"/>
      <c r="ZK253" s="26"/>
      <c r="ZL253" s="26"/>
      <c r="ZM253" s="26"/>
      <c r="ZN253" s="26"/>
      <c r="ZO253" s="26"/>
      <c r="ZP253" s="26"/>
      <c r="ZQ253" s="26"/>
      <c r="ZR253" s="26"/>
      <c r="ZS253" s="26"/>
      <c r="ZT253" s="26"/>
      <c r="ZU253" s="26"/>
      <c r="ZV253" s="26"/>
      <c r="ZW253" s="26"/>
      <c r="ZX253" s="26"/>
      <c r="ZY253" s="26"/>
      <c r="ZZ253" s="26"/>
      <c r="AAA253" s="26"/>
      <c r="AAB253" s="26"/>
      <c r="AAC253" s="26"/>
      <c r="AAD253" s="26"/>
      <c r="AAE253" s="26"/>
      <c r="AAF253" s="26"/>
      <c r="AAG253" s="26"/>
      <c r="AAH253" s="26"/>
      <c r="AAI253" s="26"/>
      <c r="AAJ253" s="26"/>
      <c r="AAK253" s="26"/>
      <c r="AAL253" s="26"/>
      <c r="AAM253" s="26"/>
      <c r="AAN253" s="26"/>
      <c r="AAO253" s="26"/>
      <c r="AAP253" s="26"/>
      <c r="AAQ253" s="26"/>
      <c r="AAR253" s="26"/>
      <c r="AAS253" s="26"/>
      <c r="AAT253" s="26"/>
      <c r="AAU253" s="26"/>
      <c r="AAV253" s="26"/>
      <c r="AAW253" s="26"/>
      <c r="AAX253" s="26"/>
      <c r="AAY253" s="26"/>
      <c r="AAZ253" s="26"/>
      <c r="ABA253" s="26"/>
      <c r="ABB253" s="26"/>
      <c r="ABC253" s="26"/>
      <c r="ABD253" s="26"/>
      <c r="ABE253" s="26"/>
      <c r="ABF253" s="26"/>
      <c r="ABG253" s="26"/>
      <c r="ABH253" s="26"/>
      <c r="ABI253" s="26"/>
      <c r="ABJ253" s="26"/>
      <c r="ABK253" s="26"/>
      <c r="ABL253" s="26"/>
      <c r="ABM253" s="26"/>
      <c r="ABN253" s="26"/>
      <c r="ABO253" s="26"/>
      <c r="ABP253" s="26"/>
      <c r="ABQ253" s="26"/>
      <c r="ABR253" s="26"/>
      <c r="ABS253" s="26"/>
      <c r="ABT253" s="26"/>
      <c r="ABU253" s="26"/>
      <c r="ABV253" s="26"/>
      <c r="ABW253" s="26"/>
      <c r="ABX253" s="26"/>
      <c r="ABY253" s="26"/>
      <c r="ABZ253" s="26"/>
      <c r="ACA253" s="26"/>
      <c r="ACB253" s="26"/>
      <c r="ACC253" s="26"/>
      <c r="ACD253" s="26"/>
      <c r="ACE253" s="26"/>
      <c r="ACF253" s="26"/>
      <c r="ACG253" s="26"/>
      <c r="ACH253" s="26"/>
      <c r="ACI253" s="26"/>
      <c r="ACJ253" s="26"/>
      <c r="ACK253" s="26"/>
      <c r="ACL253" s="26"/>
      <c r="ACM253" s="26"/>
      <c r="ACN253" s="26"/>
      <c r="ACO253" s="26"/>
      <c r="ACP253" s="26"/>
      <c r="ACQ253" s="26"/>
      <c r="ACR253" s="26"/>
      <c r="ACS253" s="26"/>
      <c r="ACT253" s="26"/>
      <c r="ACU253" s="26"/>
      <c r="ACV253" s="26"/>
      <c r="ACW253" s="26"/>
      <c r="ACX253" s="26"/>
      <c r="ACY253" s="26"/>
      <c r="ACZ253" s="26"/>
      <c r="ADA253" s="26"/>
      <c r="ADB253" s="26"/>
      <c r="ADC253" s="26"/>
      <c r="ADD253" s="26"/>
      <c r="ADE253" s="26"/>
      <c r="ADF253" s="26"/>
      <c r="ADG253" s="26"/>
      <c r="ADH253" s="26"/>
      <c r="ADI253" s="26"/>
      <c r="ADJ253" s="26"/>
      <c r="ADK253" s="26"/>
      <c r="ADL253" s="26"/>
      <c r="ADM253" s="26"/>
      <c r="ADN253" s="26"/>
      <c r="ADO253" s="26"/>
      <c r="ADP253" s="26"/>
      <c r="ADQ253" s="26"/>
      <c r="ADR253" s="26"/>
      <c r="ADS253" s="26"/>
      <c r="ADT253" s="26"/>
      <c r="ADU253" s="26"/>
      <c r="ADV253" s="26"/>
      <c r="ADW253" s="26"/>
      <c r="ADX253" s="26"/>
      <c r="ADY253" s="26"/>
      <c r="ADZ253" s="26"/>
      <c r="AEA253" s="26"/>
      <c r="AEB253" s="26"/>
      <c r="AEC253" s="26"/>
      <c r="AED253" s="26"/>
      <c r="AEE253" s="26"/>
      <c r="AEF253" s="26"/>
      <c r="AEG253" s="26"/>
      <c r="AEH253" s="26"/>
      <c r="AEI253" s="26"/>
      <c r="AEJ253" s="26"/>
      <c r="AEK253" s="26"/>
      <c r="AEL253" s="26"/>
      <c r="AEM253" s="26"/>
      <c r="AEN253" s="26"/>
      <c r="AEO253" s="26"/>
      <c r="AEP253" s="26"/>
      <c r="AEQ253" s="26"/>
      <c r="AER253" s="26"/>
      <c r="AES253" s="26"/>
      <c r="AET253" s="26"/>
      <c r="AEU253" s="26"/>
      <c r="AEV253" s="26"/>
      <c r="AEW253" s="26"/>
      <c r="AEX253" s="26"/>
      <c r="AEY253" s="26"/>
      <c r="AEZ253" s="26"/>
      <c r="AFA253" s="26"/>
      <c r="AFB253" s="26"/>
      <c r="AFC253" s="26"/>
      <c r="AFD253" s="26"/>
      <c r="AFE253" s="26"/>
      <c r="AFF253" s="26"/>
      <c r="AFG253" s="26"/>
      <c r="AFH253" s="26"/>
      <c r="AFI253" s="26"/>
      <c r="AFJ253" s="26"/>
      <c r="AFK253" s="26"/>
      <c r="AFL253" s="26"/>
      <c r="AFM253" s="26"/>
      <c r="AFN253" s="26"/>
      <c r="AFO253" s="26"/>
      <c r="AFP253" s="26"/>
      <c r="AFQ253" s="26"/>
      <c r="AFR253" s="26"/>
      <c r="AFS253" s="26"/>
      <c r="AFT253" s="26"/>
      <c r="AFU253" s="26"/>
      <c r="AFV253" s="26"/>
      <c r="AFW253" s="26"/>
      <c r="AFX253" s="26"/>
      <c r="AFY253" s="26"/>
      <c r="AFZ253" s="26"/>
      <c r="AGA253" s="26"/>
      <c r="AGB253" s="26"/>
      <c r="AGC253" s="26"/>
      <c r="AGD253" s="26"/>
      <c r="AGE253" s="26"/>
      <c r="AGF253" s="26"/>
      <c r="AGG253" s="26"/>
      <c r="AGH253" s="26"/>
      <c r="AGI253" s="26"/>
      <c r="AGJ253" s="26"/>
      <c r="AGK253" s="26"/>
      <c r="AGL253" s="26"/>
      <c r="AGM253" s="26"/>
      <c r="AGN253" s="26"/>
      <c r="AGO253" s="26"/>
      <c r="AGP253" s="26"/>
      <c r="AGQ253" s="26"/>
      <c r="AGR253" s="26"/>
      <c r="AGS253" s="26"/>
      <c r="AGT253" s="26"/>
      <c r="AGU253" s="26"/>
      <c r="AGV253" s="26"/>
      <c r="AGW253" s="26"/>
      <c r="AGX253" s="26"/>
      <c r="AGY253" s="26"/>
      <c r="AGZ253" s="26"/>
      <c r="AHA253" s="26"/>
      <c r="AHB253" s="26"/>
      <c r="AHC253" s="26"/>
      <c r="AHD253" s="26"/>
      <c r="AHE253" s="26"/>
      <c r="AHF253" s="26"/>
      <c r="AHG253" s="26"/>
      <c r="AHH253" s="26"/>
      <c r="AHI253" s="26"/>
      <c r="AHJ253" s="26"/>
      <c r="AHK253" s="26"/>
      <c r="AHL253" s="26"/>
      <c r="AHM253" s="26"/>
      <c r="AHN253" s="26"/>
      <c r="AHO253" s="26"/>
      <c r="AHP253" s="26"/>
      <c r="AHQ253" s="26"/>
      <c r="AHR253" s="26"/>
      <c r="AHS253" s="26"/>
      <c r="AHT253" s="26"/>
      <c r="AHU253" s="26"/>
      <c r="AHV253" s="26"/>
      <c r="AHW253" s="26"/>
      <c r="AHX253" s="26"/>
      <c r="AHY253" s="26"/>
      <c r="AHZ253" s="26"/>
      <c r="AIA253" s="26"/>
      <c r="AIB253" s="26"/>
      <c r="AIC253" s="26"/>
      <c r="AID253" s="26"/>
      <c r="AIE253" s="26"/>
      <c r="AIF253" s="26"/>
      <c r="AIG253" s="26"/>
      <c r="AIH253" s="26"/>
      <c r="AII253" s="26"/>
      <c r="AIJ253" s="26"/>
      <c r="AIK253" s="26"/>
      <c r="AIL253" s="26"/>
      <c r="AIM253" s="26"/>
      <c r="AIN253" s="26"/>
      <c r="AIO253" s="26"/>
      <c r="AIP253" s="26"/>
      <c r="AIQ253" s="26"/>
      <c r="AIR253" s="26"/>
      <c r="AIS253" s="26"/>
      <c r="AIT253" s="26"/>
      <c r="AIU253" s="26"/>
      <c r="AIV253" s="26"/>
      <c r="AIW253" s="26"/>
      <c r="AIX253" s="26"/>
      <c r="AIY253" s="26"/>
      <c r="AIZ253" s="26"/>
      <c r="AJA253" s="26"/>
      <c r="AJB253" s="26"/>
      <c r="AJC253" s="26"/>
      <c r="AJD253" s="26"/>
      <c r="AJE253" s="26"/>
      <c r="AJF253" s="26"/>
      <c r="AJG253" s="26"/>
      <c r="AJH253" s="26"/>
      <c r="AJI253" s="26"/>
      <c r="AJJ253" s="26"/>
      <c r="AJK253" s="26"/>
      <c r="AJL253" s="26"/>
      <c r="AJM253" s="26"/>
      <c r="AJN253" s="26"/>
      <c r="AJO253" s="26"/>
      <c r="AJP253" s="26"/>
      <c r="AJQ253" s="26"/>
      <c r="AJR253" s="26"/>
      <c r="AJS253" s="26"/>
      <c r="AJT253" s="26"/>
      <c r="AJU253" s="26"/>
      <c r="AJV253" s="26"/>
      <c r="AJW253" s="26"/>
      <c r="AJX253" s="26"/>
      <c r="AJY253" s="26"/>
      <c r="AJZ253" s="26"/>
      <c r="AKA253" s="26"/>
      <c r="AKB253" s="26"/>
      <c r="AKC253" s="26"/>
      <c r="AKD253" s="26"/>
      <c r="AKE253" s="26"/>
      <c r="AKF253" s="26"/>
      <c r="AKG253" s="26"/>
      <c r="AKH253" s="26"/>
      <c r="AKI253" s="26"/>
      <c r="AKJ253" s="26"/>
      <c r="AKK253" s="26"/>
      <c r="AKL253" s="26"/>
      <c r="AKM253" s="26"/>
      <c r="AKN253" s="26"/>
      <c r="AKO253" s="26"/>
      <c r="AKP253" s="26"/>
      <c r="AKQ253" s="26"/>
      <c r="AKR253" s="26"/>
      <c r="AKS253" s="26"/>
      <c r="AKT253" s="26"/>
      <c r="AKU253" s="26"/>
      <c r="AKV253" s="26"/>
      <c r="AKW253" s="26"/>
      <c r="AKX253" s="26"/>
      <c r="AKY253" s="26"/>
      <c r="AKZ253" s="26"/>
      <c r="ALA253" s="26"/>
      <c r="ALB253" s="26"/>
      <c r="ALC253" s="26"/>
      <c r="ALD253" s="26"/>
      <c r="ALE253" s="26"/>
      <c r="ALF253" s="26"/>
      <c r="ALG253" s="26"/>
      <c r="ALH253" s="26"/>
      <c r="ALI253" s="26"/>
      <c r="ALJ253" s="26"/>
      <c r="ALK253" s="26"/>
      <c r="ALL253" s="26"/>
      <c r="ALM253" s="26"/>
      <c r="ALN253" s="26"/>
      <c r="ALO253" s="26"/>
      <c r="ALP253" s="26"/>
      <c r="ALQ253" s="26"/>
      <c r="ALR253" s="26"/>
      <c r="ALS253" s="26"/>
      <c r="ALT253" s="26"/>
      <c r="ALU253" s="26"/>
      <c r="ALV253" s="26"/>
      <c r="ALW253" s="26"/>
      <c r="ALX253" s="26"/>
      <c r="ALY253" s="26"/>
      <c r="ALZ253" s="26"/>
      <c r="AMA253" s="26"/>
      <c r="AMB253" s="26"/>
      <c r="AMC253" s="26"/>
      <c r="AMD253" s="26"/>
      <c r="AME253" s="26"/>
      <c r="AMF253" s="26"/>
      <c r="AMG253" s="26"/>
      <c r="AMH253" s="26"/>
      <c r="AMI253" s="26"/>
      <c r="AMJ253" s="26"/>
      <c r="AMK253" s="26"/>
      <c r="AML253" s="26"/>
      <c r="AMM253" s="26"/>
      <c r="AMN253" s="26"/>
      <c r="AMO253" s="26"/>
      <c r="AMP253" s="26"/>
      <c r="AMQ253" s="26"/>
      <c r="AMR253" s="26"/>
      <c r="AMS253" s="26"/>
      <c r="AMT253" s="26"/>
      <c r="AMU253" s="26"/>
      <c r="AMV253" s="26"/>
      <c r="AMW253" s="26"/>
      <c r="AMX253" s="26"/>
      <c r="AMY253" s="26"/>
      <c r="AMZ253" s="26"/>
      <c r="ANA253" s="26"/>
      <c r="ANB253" s="26"/>
      <c r="ANC253" s="26"/>
      <c r="AND253" s="26"/>
      <c r="ANE253" s="26"/>
      <c r="ANF253" s="26"/>
      <c r="ANG253" s="26"/>
      <c r="ANH253" s="26"/>
      <c r="ANI253" s="26"/>
      <c r="ANJ253" s="26"/>
      <c r="ANK253" s="26"/>
      <c r="ANL253" s="26"/>
      <c r="ANM253" s="26"/>
      <c r="ANN253" s="26"/>
      <c r="ANO253" s="26"/>
      <c r="ANP253" s="26"/>
      <c r="ANQ253" s="26"/>
      <c r="ANR253" s="26"/>
      <c r="ANS253" s="26"/>
      <c r="ANT253" s="26"/>
      <c r="ANU253" s="26"/>
      <c r="ANV253" s="26"/>
      <c r="ANW253" s="26"/>
      <c r="ANX253" s="26"/>
      <c r="ANY253" s="26"/>
      <c r="ANZ253" s="26"/>
      <c r="AOA253" s="26"/>
      <c r="AOB253" s="26"/>
      <c r="AOC253" s="26"/>
      <c r="AOD253" s="26"/>
      <c r="AOE253" s="26"/>
      <c r="AOF253" s="26"/>
      <c r="AOG253" s="26"/>
      <c r="AOH253" s="26"/>
      <c r="AOI253" s="26"/>
      <c r="AOJ253" s="26"/>
      <c r="AOK253" s="26"/>
      <c r="AOL253" s="26"/>
      <c r="AOM253" s="26"/>
      <c r="AON253" s="26"/>
      <c r="AOO253" s="26"/>
      <c r="AOP253" s="26"/>
      <c r="AOQ253" s="26"/>
      <c r="AOR253" s="26"/>
      <c r="AOS253" s="26"/>
      <c r="AOT253" s="26"/>
      <c r="AOU253" s="26"/>
      <c r="AOV253" s="26"/>
      <c r="AOW253" s="26"/>
      <c r="AOX253" s="26"/>
      <c r="AOY253" s="26"/>
      <c r="AOZ253" s="26"/>
      <c r="APA253" s="26"/>
      <c r="APB253" s="26"/>
      <c r="APC253" s="26"/>
      <c r="APD253" s="26"/>
      <c r="APE253" s="26"/>
      <c r="APF253" s="26"/>
      <c r="APG253" s="26"/>
      <c r="APH253" s="26"/>
      <c r="API253" s="26"/>
      <c r="APJ253" s="26"/>
      <c r="APK253" s="26"/>
      <c r="APL253" s="26"/>
      <c r="APM253" s="26"/>
      <c r="APN253" s="26"/>
      <c r="APO253" s="26"/>
      <c r="APP253" s="26"/>
      <c r="APQ253" s="26"/>
      <c r="APR253" s="26"/>
      <c r="APS253" s="26"/>
      <c r="APT253" s="26"/>
      <c r="APU253" s="26"/>
      <c r="APV253" s="26"/>
      <c r="APW253" s="26"/>
      <c r="APX253" s="26"/>
      <c r="APY253" s="26"/>
      <c r="APZ253" s="26"/>
      <c r="AQA253" s="26"/>
      <c r="AQB253" s="26"/>
      <c r="AQC253" s="26"/>
      <c r="AQD253" s="26"/>
      <c r="AQE253" s="26"/>
      <c r="AQF253" s="26"/>
      <c r="AQG253" s="26"/>
      <c r="AQH253" s="26"/>
      <c r="AQI253" s="26"/>
      <c r="AQJ253" s="26"/>
      <c r="AQK253" s="26"/>
      <c r="AQL253" s="26"/>
      <c r="AQM253" s="26"/>
      <c r="AQN253" s="26"/>
      <c r="AQO253" s="26"/>
      <c r="AQP253" s="26"/>
      <c r="AQQ253" s="26"/>
      <c r="AQR253" s="26"/>
      <c r="AQS253" s="26"/>
      <c r="AQT253" s="26"/>
      <c r="AQU253" s="26"/>
      <c r="AQV253" s="26"/>
      <c r="AQW253" s="26"/>
      <c r="AQX253" s="26"/>
      <c r="AQY253" s="26"/>
      <c r="AQZ253" s="26"/>
      <c r="ARA253" s="26"/>
      <c r="ARB253" s="26"/>
      <c r="ARC253" s="26"/>
      <c r="ARD253" s="26"/>
      <c r="ARE253" s="26"/>
      <c r="ARF253" s="26"/>
      <c r="ARG253" s="26"/>
      <c r="ARH253" s="26"/>
      <c r="ARI253" s="26"/>
      <c r="ARJ253" s="26"/>
      <c r="ARK253" s="26"/>
      <c r="ARL253" s="26"/>
      <c r="ARM253" s="26"/>
      <c r="ARN253" s="26"/>
      <c r="ARO253" s="26"/>
      <c r="ARP253" s="26"/>
      <c r="ARQ253" s="26"/>
      <c r="ARR253" s="26"/>
      <c r="ARS253" s="26"/>
      <c r="ART253" s="26"/>
      <c r="ARU253" s="26"/>
      <c r="ARV253" s="26"/>
      <c r="ARW253" s="26"/>
      <c r="ARX253" s="26"/>
      <c r="ARY253" s="26"/>
      <c r="ARZ253" s="26"/>
      <c r="ASA253" s="26"/>
      <c r="ASB253" s="26"/>
      <c r="ASC253" s="26"/>
      <c r="ASD253" s="26"/>
      <c r="ASE253" s="26"/>
      <c r="ASF253" s="26"/>
      <c r="ASG253" s="26"/>
      <c r="ASH253" s="26"/>
      <c r="ASI253" s="26"/>
      <c r="ASJ253" s="26"/>
      <c r="ASK253" s="26"/>
      <c r="ASL253" s="26"/>
      <c r="ASM253" s="26"/>
      <c r="ASN253" s="26"/>
      <c r="ASO253" s="26"/>
      <c r="ASP253" s="26"/>
      <c r="ASQ253" s="26"/>
      <c r="ASR253" s="26"/>
      <c r="ASS253" s="26"/>
      <c r="AST253" s="26"/>
      <c r="ASU253" s="26"/>
      <c r="ASV253" s="26"/>
      <c r="ASW253" s="26"/>
      <c r="ASX253" s="26"/>
      <c r="ASY253" s="26"/>
      <c r="ASZ253" s="26"/>
      <c r="ATA253" s="26"/>
      <c r="ATB253" s="26"/>
      <c r="ATC253" s="26"/>
      <c r="ATD253" s="26"/>
      <c r="ATE253" s="26"/>
      <c r="ATF253" s="26"/>
      <c r="ATG253" s="26"/>
      <c r="ATH253" s="26"/>
      <c r="ATI253" s="26"/>
      <c r="ATJ253" s="26"/>
      <c r="ATK253" s="26"/>
      <c r="ATL253" s="26"/>
      <c r="ATM253" s="26"/>
      <c r="ATN253" s="26"/>
      <c r="ATO253" s="26"/>
      <c r="ATP253" s="26"/>
      <c r="ATQ253" s="26"/>
      <c r="ATR253" s="26"/>
      <c r="ATS253" s="26"/>
      <c r="ATT253" s="26"/>
      <c r="ATU253" s="26"/>
      <c r="ATV253" s="26"/>
      <c r="ATW253" s="26"/>
      <c r="ATX253" s="26"/>
      <c r="ATY253" s="26"/>
      <c r="ATZ253" s="26"/>
      <c r="AUA253" s="26"/>
      <c r="AUB253" s="26"/>
      <c r="AUC253" s="26"/>
      <c r="AUD253" s="26"/>
      <c r="AUE253" s="26"/>
      <c r="AUF253" s="26"/>
      <c r="AUG253" s="26"/>
      <c r="AUH253" s="26"/>
      <c r="AUI253" s="26"/>
      <c r="AUJ253" s="26"/>
      <c r="AUK253" s="26"/>
      <c r="AUL253" s="26"/>
      <c r="AUM253" s="26"/>
      <c r="AUN253" s="26"/>
      <c r="AUO253" s="26"/>
      <c r="AUP253" s="26"/>
      <c r="AUQ253" s="26"/>
      <c r="AUR253" s="26"/>
      <c r="AUS253" s="26"/>
      <c r="AUT253" s="26"/>
      <c r="AUU253" s="26"/>
      <c r="AUV253" s="26"/>
      <c r="AUW253" s="26"/>
      <c r="AUX253" s="26"/>
      <c r="AUY253" s="26"/>
      <c r="AUZ253" s="26"/>
      <c r="AVA253" s="26"/>
      <c r="AVB253" s="26"/>
      <c r="AVC253" s="26"/>
      <c r="AVD253" s="26"/>
      <c r="AVE253" s="26"/>
      <c r="AVF253" s="26"/>
      <c r="AVG253" s="26"/>
      <c r="AVH253" s="26"/>
      <c r="AVI253" s="26"/>
      <c r="AVJ253" s="26"/>
      <c r="AVK253" s="26"/>
      <c r="AVL253" s="26"/>
      <c r="AVM253" s="26"/>
      <c r="AVN253" s="26"/>
      <c r="AVO253" s="26"/>
      <c r="AVP253" s="26"/>
      <c r="AVQ253" s="26"/>
      <c r="AVR253" s="26"/>
      <c r="AVS253" s="26"/>
      <c r="AVT253" s="26"/>
      <c r="AVU253" s="26"/>
      <c r="AVV253" s="26"/>
      <c r="AVW253" s="26"/>
      <c r="AVX253" s="26"/>
      <c r="AVY253" s="26"/>
      <c r="AVZ253" s="26"/>
      <c r="AWA253" s="26"/>
      <c r="AWB253" s="26"/>
      <c r="AWC253" s="26"/>
      <c r="AWD253" s="26"/>
      <c r="AWE253" s="26"/>
      <c r="AWF253" s="26"/>
      <c r="AWG253" s="26"/>
      <c r="AWH253" s="26"/>
      <c r="AWI253" s="26"/>
      <c r="AWJ253" s="26"/>
      <c r="AWK253" s="26"/>
      <c r="AWL253" s="26"/>
      <c r="AWM253" s="26"/>
      <c r="AWN253" s="26"/>
      <c r="AWO253" s="26"/>
      <c r="AWP253" s="26"/>
      <c r="AWQ253" s="26"/>
      <c r="AWR253" s="26"/>
      <c r="AWS253" s="26"/>
      <c r="AWT253" s="26"/>
      <c r="AWU253" s="26"/>
      <c r="AWV253" s="26"/>
      <c r="AWW253" s="26"/>
      <c r="AWX253" s="26"/>
      <c r="AWY253" s="26"/>
      <c r="AWZ253" s="26"/>
      <c r="AXA253" s="26"/>
      <c r="AXB253" s="26"/>
      <c r="AXC253" s="26"/>
      <c r="AXD253" s="26"/>
      <c r="AXE253" s="26"/>
      <c r="AXF253" s="26"/>
      <c r="AXG253" s="26"/>
      <c r="AXH253" s="26"/>
      <c r="AXI253" s="26"/>
      <c r="AXJ253" s="26"/>
      <c r="AXK253" s="26"/>
      <c r="AXL253" s="26"/>
      <c r="AXM253" s="26"/>
      <c r="AXN253" s="26"/>
      <c r="AXO253" s="26"/>
      <c r="AXP253" s="26"/>
      <c r="AXQ253" s="26"/>
      <c r="AXR253" s="26"/>
      <c r="AXS253" s="26"/>
      <c r="AXT253" s="26"/>
      <c r="AXU253" s="26"/>
      <c r="AXV253" s="26"/>
      <c r="AXW253" s="26"/>
      <c r="AXX253" s="26"/>
      <c r="AXY253" s="26"/>
      <c r="AXZ253" s="26"/>
      <c r="AYA253" s="26"/>
      <c r="AYB253" s="26"/>
      <c r="AYC253" s="26"/>
      <c r="AYD253" s="26"/>
      <c r="AYE253" s="26"/>
      <c r="AYF253" s="26"/>
      <c r="AYG253" s="26"/>
      <c r="AYH253" s="26"/>
      <c r="AYI253" s="26"/>
      <c r="AYJ253" s="26"/>
      <c r="AYK253" s="26"/>
      <c r="AYL253" s="26"/>
      <c r="AYM253" s="26"/>
      <c r="AYN253" s="26"/>
      <c r="AYO253" s="26"/>
      <c r="AYP253" s="26"/>
      <c r="AYQ253" s="26"/>
      <c r="AYR253" s="26"/>
      <c r="AYS253" s="26"/>
      <c r="AYT253" s="26"/>
      <c r="AYU253" s="26"/>
      <c r="AYV253" s="26"/>
      <c r="AYW253" s="26"/>
      <c r="AYX253" s="26"/>
      <c r="AYY253" s="26"/>
      <c r="AYZ253" s="26"/>
      <c r="AZA253" s="26"/>
      <c r="AZB253" s="26"/>
      <c r="AZC253" s="26"/>
      <c r="AZD253" s="26"/>
      <c r="AZE253" s="26"/>
      <c r="AZF253" s="26"/>
      <c r="AZG253" s="26"/>
      <c r="AZH253" s="26"/>
      <c r="AZI253" s="26"/>
      <c r="AZJ253" s="26"/>
      <c r="AZK253" s="26"/>
      <c r="AZL253" s="26"/>
      <c r="AZM253" s="26"/>
      <c r="AZN253" s="26"/>
      <c r="AZO253" s="26"/>
      <c r="AZP253" s="26"/>
      <c r="AZQ253" s="26"/>
      <c r="AZR253" s="26"/>
      <c r="AZS253" s="26"/>
      <c r="AZT253" s="26"/>
      <c r="AZU253" s="26"/>
      <c r="AZV253" s="26"/>
      <c r="AZW253" s="26"/>
      <c r="AZX253" s="26"/>
      <c r="AZY253" s="26"/>
      <c r="AZZ253" s="26"/>
      <c r="BAA253" s="26"/>
      <c r="BAB253" s="26"/>
      <c r="BAC253" s="26"/>
      <c r="BAD253" s="26"/>
      <c r="BAE253" s="26"/>
      <c r="BAF253" s="26"/>
      <c r="BAG253" s="26"/>
      <c r="BAH253" s="26"/>
      <c r="BAI253" s="26"/>
      <c r="BAJ253" s="26"/>
      <c r="BAK253" s="26"/>
      <c r="BAL253" s="26"/>
      <c r="BAM253" s="26"/>
      <c r="BAN253" s="26"/>
      <c r="BAO253" s="26"/>
      <c r="BAP253" s="26"/>
      <c r="BAQ253" s="26"/>
      <c r="BAR253" s="26"/>
      <c r="BAS253" s="26"/>
      <c r="BAT253" s="26"/>
      <c r="BAU253" s="26"/>
      <c r="BAV253" s="26"/>
      <c r="BAW253" s="26"/>
      <c r="BAX253" s="26"/>
      <c r="BAY253" s="26"/>
      <c r="BAZ253" s="26"/>
      <c r="BBA253" s="26"/>
      <c r="BBB253" s="26"/>
      <c r="BBC253" s="26"/>
      <c r="BBD253" s="26"/>
      <c r="BBE253" s="26"/>
      <c r="BBF253" s="26"/>
      <c r="BBG253" s="26"/>
      <c r="BBH253" s="26"/>
      <c r="BBI253" s="26"/>
      <c r="BBJ253" s="26"/>
      <c r="BBK253" s="26"/>
      <c r="BBL253" s="26"/>
      <c r="BBM253" s="26"/>
      <c r="BBN253" s="26"/>
      <c r="BBO253" s="26"/>
      <c r="BBP253" s="26"/>
      <c r="BBQ253" s="26"/>
      <c r="BBR253" s="26"/>
      <c r="BBS253" s="26"/>
      <c r="BBT253" s="26"/>
      <c r="BBU253" s="26"/>
      <c r="BBV253" s="26"/>
      <c r="BBW253" s="26"/>
      <c r="BBX253" s="26"/>
      <c r="BBY253" s="26"/>
      <c r="BBZ253" s="26"/>
      <c r="BCA253" s="26"/>
      <c r="BCB253" s="26"/>
      <c r="BCC253" s="26"/>
      <c r="BCD253" s="26"/>
      <c r="BCE253" s="26"/>
      <c r="BCF253" s="26"/>
      <c r="BCG253" s="26"/>
      <c r="BCH253" s="26"/>
      <c r="BCI253" s="26"/>
      <c r="BCJ253" s="26"/>
      <c r="BCK253" s="26"/>
      <c r="BCL253" s="26"/>
      <c r="BCM253" s="26"/>
      <c r="BCN253" s="26"/>
      <c r="BCO253" s="26"/>
      <c r="BCP253" s="26"/>
      <c r="BCQ253" s="26"/>
      <c r="BCR253" s="26"/>
      <c r="BCS253" s="26"/>
      <c r="BCT253" s="26"/>
      <c r="BCU253" s="26"/>
      <c r="BCV253" s="26"/>
      <c r="BCW253" s="26"/>
      <c r="BCX253" s="26"/>
      <c r="BCY253" s="26"/>
      <c r="BCZ253" s="26"/>
      <c r="BDA253" s="26"/>
      <c r="BDB253" s="26"/>
      <c r="BDC253" s="26"/>
      <c r="BDD253" s="26"/>
      <c r="BDE253" s="26"/>
      <c r="BDF253" s="26"/>
      <c r="BDG253" s="26"/>
      <c r="BDH253" s="26"/>
      <c r="BDI253" s="26"/>
      <c r="BDJ253" s="26"/>
      <c r="BDK253" s="26"/>
      <c r="BDL253" s="26"/>
      <c r="BDM253" s="26"/>
      <c r="BDN253" s="26"/>
      <c r="BDO253" s="26"/>
      <c r="BDP253" s="26"/>
      <c r="BDQ253" s="26"/>
      <c r="BDR253" s="26"/>
      <c r="BDS253" s="26"/>
      <c r="BDT253" s="26"/>
      <c r="BDU253" s="26"/>
      <c r="BDV253" s="26"/>
      <c r="BDW253" s="26"/>
      <c r="BDX253" s="26"/>
      <c r="BDY253" s="26"/>
      <c r="BDZ253" s="26"/>
      <c r="BEA253" s="26"/>
      <c r="BEB253" s="26"/>
      <c r="BEC253" s="26"/>
      <c r="BED253" s="26"/>
      <c r="BEE253" s="26"/>
      <c r="BEF253" s="26"/>
      <c r="BEG253" s="26"/>
      <c r="BEH253" s="26"/>
      <c r="BEI253" s="26"/>
      <c r="BEJ253" s="26"/>
      <c r="BEK253" s="26"/>
      <c r="BEL253" s="26"/>
      <c r="BEM253" s="26"/>
      <c r="BEN253" s="26"/>
      <c r="BEO253" s="26"/>
      <c r="BEP253" s="26"/>
      <c r="BEQ253" s="26"/>
      <c r="BER253" s="26"/>
      <c r="BES253" s="26"/>
      <c r="BET253" s="26"/>
      <c r="BEU253" s="26"/>
      <c r="BEV253" s="26"/>
      <c r="BEW253" s="26"/>
      <c r="BEX253" s="26"/>
      <c r="BEY253" s="26"/>
      <c r="BEZ253" s="26"/>
      <c r="BFA253" s="26"/>
      <c r="BFB253" s="26"/>
      <c r="BFC253" s="26"/>
      <c r="BFD253" s="26"/>
      <c r="BFE253" s="26"/>
      <c r="BFF253" s="26"/>
      <c r="BFG253" s="26"/>
      <c r="BFH253" s="26"/>
      <c r="BFI253" s="26"/>
      <c r="BFJ253" s="26"/>
      <c r="BFK253" s="26"/>
      <c r="BFL253" s="26"/>
      <c r="BFM253" s="26"/>
      <c r="BFN253" s="26"/>
      <c r="BFO253" s="26"/>
      <c r="BFP253" s="26"/>
      <c r="BFQ253" s="26"/>
      <c r="BFR253" s="26"/>
      <c r="BFS253" s="26"/>
      <c r="BFT253" s="26"/>
      <c r="BFU253" s="26"/>
      <c r="BFV253" s="26"/>
      <c r="BFW253" s="26"/>
      <c r="BFX253" s="26"/>
      <c r="BFY253" s="26"/>
      <c r="BFZ253" s="26"/>
      <c r="BGA253" s="26"/>
      <c r="BGB253" s="26"/>
      <c r="BGC253" s="26"/>
      <c r="BGD253" s="26"/>
      <c r="BGE253" s="26"/>
      <c r="BGF253" s="26"/>
      <c r="BGG253" s="26"/>
      <c r="BGH253" s="26"/>
      <c r="BGI253" s="26"/>
      <c r="BGJ253" s="26"/>
      <c r="BGK253" s="26"/>
      <c r="BGL253" s="26"/>
      <c r="BGM253" s="26"/>
      <c r="BGN253" s="26"/>
      <c r="BGO253" s="26"/>
      <c r="BGP253" s="26"/>
      <c r="BGQ253" s="26"/>
      <c r="BGR253" s="26"/>
      <c r="BGS253" s="26"/>
      <c r="BGT253" s="26"/>
      <c r="BGU253" s="26"/>
      <c r="BGV253" s="26"/>
      <c r="BGW253" s="26"/>
      <c r="BGX253" s="26"/>
      <c r="BGY253" s="26"/>
      <c r="BGZ253" s="26"/>
      <c r="BHA253" s="26"/>
      <c r="BHB253" s="26"/>
      <c r="BHC253" s="26"/>
      <c r="BHD253" s="26"/>
      <c r="BHE253" s="26"/>
      <c r="BHF253" s="26"/>
      <c r="BHG253" s="26"/>
      <c r="BHH253" s="26"/>
      <c r="BHI253" s="26"/>
      <c r="BHJ253" s="26"/>
      <c r="BHK253" s="26"/>
      <c r="BHL253" s="26"/>
      <c r="BHM253" s="26"/>
      <c r="BHN253" s="26"/>
      <c r="BHO253" s="26"/>
      <c r="BHP253" s="26"/>
      <c r="BHQ253" s="26"/>
      <c r="BHR253" s="26"/>
      <c r="BHS253" s="26"/>
      <c r="BHT253" s="26"/>
      <c r="BHU253" s="26"/>
      <c r="BHV253" s="26"/>
      <c r="BHW253" s="26"/>
      <c r="BHX253" s="26"/>
      <c r="BHY253" s="26"/>
      <c r="BHZ253" s="26"/>
      <c r="BIA253" s="26"/>
      <c r="BIB253" s="26"/>
      <c r="BIC253" s="26"/>
      <c r="BID253" s="26"/>
      <c r="BIE253" s="26"/>
      <c r="BIF253" s="26"/>
      <c r="BIG253" s="26"/>
      <c r="BIH253" s="26"/>
      <c r="BII253" s="26"/>
      <c r="BIJ253" s="26"/>
      <c r="BIK253" s="26"/>
      <c r="BIL253" s="26"/>
      <c r="BIM253" s="26"/>
      <c r="BIN253" s="26"/>
      <c r="BIO253" s="26"/>
      <c r="BIP253" s="26"/>
      <c r="BIQ253" s="26"/>
      <c r="BIR253" s="26"/>
      <c r="BIS253" s="26"/>
      <c r="BIT253" s="26"/>
      <c r="BIU253" s="26"/>
      <c r="BIV253" s="26"/>
      <c r="BIW253" s="26"/>
      <c r="BIX253" s="26"/>
      <c r="BIY253" s="26"/>
      <c r="BIZ253" s="26"/>
      <c r="BJA253" s="26"/>
      <c r="BJB253" s="26"/>
      <c r="BJC253" s="26"/>
      <c r="BJD253" s="26"/>
      <c r="BJE253" s="26"/>
      <c r="BJF253" s="26"/>
      <c r="BJG253" s="26"/>
      <c r="BJH253" s="26"/>
      <c r="BJI253" s="26"/>
      <c r="BJJ253" s="26"/>
      <c r="BJK253" s="26"/>
      <c r="BJL253" s="26"/>
      <c r="BJM253" s="26"/>
      <c r="BJN253" s="26"/>
      <c r="BJO253" s="26"/>
      <c r="BJP253" s="26"/>
      <c r="BJQ253" s="26"/>
      <c r="BJR253" s="26"/>
      <c r="BJS253" s="26"/>
      <c r="BJT253" s="26"/>
      <c r="BJU253" s="26"/>
      <c r="BJV253" s="26"/>
      <c r="BJW253" s="26"/>
      <c r="BJX253" s="26"/>
      <c r="BJY253" s="26"/>
      <c r="BJZ253" s="26"/>
      <c r="BKA253" s="26"/>
      <c r="BKB253" s="26"/>
      <c r="BKC253" s="26"/>
      <c r="BKD253" s="26"/>
      <c r="BKE253" s="26"/>
      <c r="BKF253" s="26"/>
      <c r="BKG253" s="26"/>
      <c r="BKH253" s="26"/>
      <c r="BKI253" s="26"/>
      <c r="BKJ253" s="26"/>
      <c r="BKK253" s="26"/>
      <c r="BKL253" s="26"/>
      <c r="BKM253" s="26"/>
      <c r="BKN253" s="26"/>
      <c r="BKO253" s="26"/>
      <c r="BKP253" s="26"/>
      <c r="BKQ253" s="26"/>
      <c r="BKR253" s="26"/>
      <c r="BKS253" s="26"/>
      <c r="BKT253" s="26"/>
      <c r="BKU253" s="26"/>
      <c r="BKV253" s="26"/>
      <c r="BKW253" s="26"/>
      <c r="BKX253" s="26"/>
      <c r="BKY253" s="26"/>
      <c r="BKZ253" s="26"/>
      <c r="BLA253" s="26"/>
      <c r="BLB253" s="26"/>
      <c r="BLC253" s="26"/>
      <c r="BLD253" s="26"/>
      <c r="BLE253" s="26"/>
      <c r="BLF253" s="26"/>
      <c r="BLG253" s="26"/>
      <c r="BLH253" s="26"/>
      <c r="BLI253" s="26"/>
      <c r="BLJ253" s="26"/>
      <c r="BLK253" s="26"/>
      <c r="BLL253" s="26"/>
      <c r="BLM253" s="26"/>
      <c r="BLN253" s="26"/>
      <c r="BLO253" s="26"/>
      <c r="BLP253" s="26"/>
      <c r="BLQ253" s="26"/>
      <c r="BLR253" s="26"/>
      <c r="BLS253" s="26"/>
      <c r="BLT253" s="26"/>
      <c r="BLU253" s="26"/>
      <c r="BLV253" s="26"/>
      <c r="BLW253" s="26"/>
      <c r="BLX253" s="26"/>
      <c r="BLY253" s="26"/>
      <c r="BLZ253" s="26"/>
      <c r="BMA253" s="26"/>
      <c r="BMB253" s="26"/>
      <c r="BMC253" s="26"/>
      <c r="BMD253" s="26"/>
      <c r="BME253" s="26"/>
      <c r="BMF253" s="26"/>
      <c r="BMG253" s="26"/>
      <c r="BMH253" s="26"/>
      <c r="BMI253" s="26"/>
      <c r="BMJ253" s="26"/>
      <c r="BMK253" s="26"/>
      <c r="BML253" s="26"/>
      <c r="BMM253" s="26"/>
      <c r="BMN253" s="26"/>
      <c r="BMO253" s="26"/>
      <c r="BMP253" s="26"/>
      <c r="BMQ253" s="26"/>
      <c r="BMR253" s="26"/>
      <c r="BMS253" s="26"/>
      <c r="BMT253" s="26"/>
      <c r="BMU253" s="26"/>
      <c r="BMV253" s="26"/>
      <c r="BMW253" s="26"/>
      <c r="BMX253" s="26"/>
      <c r="BMY253" s="26"/>
      <c r="BMZ253" s="26"/>
      <c r="BNA253" s="26"/>
      <c r="BNB253" s="26"/>
      <c r="BNC253" s="26"/>
      <c r="BND253" s="26"/>
      <c r="BNE253" s="26"/>
      <c r="BNF253" s="26"/>
      <c r="BNG253" s="26"/>
      <c r="BNH253" s="26"/>
      <c r="BNI253" s="26"/>
      <c r="BNJ253" s="26"/>
      <c r="BNK253" s="26"/>
      <c r="BNL253" s="26"/>
      <c r="BNM253" s="26"/>
      <c r="BNN253" s="26"/>
      <c r="BNO253" s="26"/>
      <c r="BNP253" s="26"/>
      <c r="BNQ253" s="26"/>
      <c r="BNR253" s="26"/>
      <c r="BNS253" s="26"/>
      <c r="BNT253" s="26"/>
      <c r="BNU253" s="26"/>
      <c r="BNV253" s="26"/>
      <c r="BNW253" s="26"/>
      <c r="BNX253" s="26"/>
      <c r="BNY253" s="26"/>
      <c r="BNZ253" s="26"/>
      <c r="BOA253" s="26"/>
      <c r="BOB253" s="26"/>
      <c r="BOC253" s="26"/>
      <c r="BOD253" s="26"/>
      <c r="BOE253" s="26"/>
      <c r="BOF253" s="26"/>
      <c r="BOG253" s="26"/>
      <c r="BOH253" s="26"/>
      <c r="BOI253" s="26"/>
      <c r="BOJ253" s="26"/>
      <c r="BOK253" s="26"/>
      <c r="BOL253" s="26"/>
      <c r="BOM253" s="26"/>
      <c r="BON253" s="26"/>
      <c r="BOO253" s="26"/>
      <c r="BOP253" s="26"/>
      <c r="BOQ253" s="26"/>
      <c r="BOR253" s="26"/>
      <c r="BOS253" s="26"/>
      <c r="BOT253" s="26"/>
      <c r="BOU253" s="26"/>
      <c r="BOV253" s="26"/>
      <c r="BOW253" s="26"/>
      <c r="BOX253" s="26"/>
      <c r="BOY253" s="26"/>
      <c r="BOZ253" s="26"/>
      <c r="BPA253" s="26"/>
      <c r="BPB253" s="26"/>
      <c r="BPC253" s="26"/>
      <c r="BPD253" s="26"/>
      <c r="BPE253" s="26"/>
      <c r="BPF253" s="26"/>
      <c r="BPG253" s="26"/>
      <c r="BPH253" s="26"/>
      <c r="BPI253" s="26"/>
      <c r="BPJ253" s="26"/>
      <c r="BPK253" s="26"/>
      <c r="BPL253" s="26"/>
      <c r="BPM253" s="26"/>
      <c r="BPN253" s="26"/>
      <c r="BPO253" s="26"/>
      <c r="BPP253" s="26"/>
      <c r="BPQ253" s="26"/>
      <c r="BPR253" s="26"/>
      <c r="BPS253" s="26"/>
      <c r="BPT253" s="26"/>
      <c r="BPU253" s="26"/>
      <c r="BPV253" s="26"/>
      <c r="BPW253" s="26"/>
      <c r="BPX253" s="26"/>
      <c r="BPY253" s="26"/>
      <c r="BPZ253" s="26"/>
      <c r="BQA253" s="26"/>
      <c r="BQB253" s="26"/>
      <c r="BQC253" s="26"/>
      <c r="BQD253" s="26"/>
      <c r="BQE253" s="26"/>
      <c r="BQF253" s="26"/>
      <c r="BQG253" s="26"/>
      <c r="BQH253" s="26"/>
      <c r="BQI253" s="26"/>
      <c r="BQJ253" s="26"/>
      <c r="BQK253" s="26"/>
      <c r="BQL253" s="26"/>
      <c r="BQM253" s="26"/>
      <c r="BQN253" s="26"/>
      <c r="BQO253" s="26"/>
      <c r="BQP253" s="26"/>
      <c r="BQQ253" s="26"/>
      <c r="BQR253" s="26"/>
      <c r="BQS253" s="26"/>
      <c r="BQT253" s="26"/>
      <c r="BQU253" s="26"/>
      <c r="BQV253" s="26"/>
      <c r="BQW253" s="26"/>
      <c r="BQX253" s="26"/>
      <c r="BQY253" s="26"/>
      <c r="BQZ253" s="26"/>
      <c r="BRA253" s="26"/>
      <c r="BRB253" s="26"/>
      <c r="BRC253" s="26"/>
      <c r="BRD253" s="26"/>
      <c r="BRE253" s="26"/>
      <c r="BRF253" s="26"/>
      <c r="BRG253" s="26"/>
      <c r="BRH253" s="26"/>
      <c r="BRI253" s="26"/>
      <c r="BRJ253" s="26"/>
      <c r="BRK253" s="26"/>
      <c r="BRL253" s="26"/>
      <c r="BRM253" s="26"/>
      <c r="BRN253" s="26"/>
      <c r="BRO253" s="26"/>
      <c r="BRP253" s="26"/>
      <c r="BRQ253" s="26"/>
      <c r="BRR253" s="26"/>
      <c r="BRS253" s="26"/>
      <c r="BRT253" s="26"/>
      <c r="BRU253" s="26"/>
      <c r="BRV253" s="26"/>
      <c r="BRW253" s="26"/>
      <c r="BRX253" s="26"/>
      <c r="BRY253" s="26"/>
      <c r="BRZ253" s="26"/>
      <c r="BSA253" s="26"/>
      <c r="BSB253" s="26"/>
      <c r="BSC253" s="26"/>
      <c r="BSD253" s="26"/>
      <c r="BSE253" s="26"/>
      <c r="BSF253" s="26"/>
      <c r="BSG253" s="26"/>
      <c r="BSH253" s="26"/>
      <c r="BSI253" s="26"/>
      <c r="BSJ253" s="26"/>
      <c r="BSK253" s="26"/>
      <c r="BSL253" s="26"/>
      <c r="BSM253" s="26"/>
      <c r="BSN253" s="26"/>
      <c r="BSO253" s="26"/>
      <c r="BSP253" s="26"/>
      <c r="BSQ253" s="26"/>
      <c r="BSR253" s="26"/>
      <c r="BSS253" s="26"/>
      <c r="BST253" s="26"/>
      <c r="BSU253" s="26"/>
      <c r="BSV253" s="26"/>
      <c r="BSW253" s="26"/>
      <c r="BSX253" s="26"/>
      <c r="BSY253" s="26"/>
      <c r="BSZ253" s="26"/>
      <c r="BTA253" s="26"/>
      <c r="BTB253" s="26"/>
      <c r="BTC253" s="26"/>
      <c r="BTD253" s="26"/>
      <c r="BTE253" s="26"/>
      <c r="BTF253" s="26"/>
      <c r="BTG253" s="26"/>
      <c r="BTH253" s="26"/>
      <c r="BTI253" s="26"/>
      <c r="BTJ253" s="26"/>
      <c r="BTK253" s="26"/>
      <c r="BTL253" s="26"/>
      <c r="BTM253" s="26"/>
      <c r="BTN253" s="26"/>
      <c r="BTO253" s="26"/>
      <c r="BTP253" s="26"/>
      <c r="BTQ253" s="26"/>
      <c r="BTR253" s="26"/>
      <c r="BTS253" s="26"/>
      <c r="BTT253" s="26"/>
      <c r="BTU253" s="26"/>
      <c r="BTV253" s="26"/>
      <c r="BTW253" s="26"/>
      <c r="BTX253" s="26"/>
      <c r="BTY253" s="26"/>
      <c r="BTZ253" s="26"/>
      <c r="BUA253" s="26"/>
      <c r="BUB253" s="26"/>
      <c r="BUC253" s="26"/>
      <c r="BUD253" s="26"/>
      <c r="BUE253" s="26"/>
      <c r="BUF253" s="26"/>
      <c r="BUG253" s="26"/>
      <c r="BUH253" s="26"/>
      <c r="BUI253" s="26"/>
      <c r="BUJ253" s="26"/>
      <c r="BUK253" s="26"/>
      <c r="BUL253" s="26"/>
      <c r="BUM253" s="26"/>
      <c r="BUN253" s="26"/>
      <c r="BUO253" s="26"/>
      <c r="BUP253" s="26"/>
      <c r="BUQ253" s="26"/>
      <c r="BUR253" s="26"/>
      <c r="BUS253" s="26"/>
      <c r="BUT253" s="26"/>
      <c r="BUU253" s="26"/>
      <c r="BUV253" s="26"/>
      <c r="BUW253" s="26"/>
      <c r="BUX253" s="26"/>
      <c r="BUY253" s="26"/>
      <c r="BUZ253" s="26"/>
      <c r="BVA253" s="26"/>
      <c r="BVB253" s="26"/>
      <c r="BVC253" s="26"/>
      <c r="BVD253" s="26"/>
      <c r="BVE253" s="26"/>
      <c r="BVF253" s="26"/>
      <c r="BVG253" s="26"/>
      <c r="BVH253" s="26"/>
      <c r="BVI253" s="26"/>
      <c r="BVJ253" s="26"/>
      <c r="BVK253" s="26"/>
      <c r="BVL253" s="26"/>
      <c r="BVM253" s="26"/>
      <c r="BVN253" s="26"/>
      <c r="BVO253" s="26"/>
      <c r="BVP253" s="26"/>
      <c r="BVQ253" s="26"/>
      <c r="BVR253" s="26"/>
      <c r="BVS253" s="26"/>
      <c r="BVT253" s="26"/>
      <c r="BVU253" s="26"/>
      <c r="BVV253" s="26"/>
      <c r="BVW253" s="26"/>
      <c r="BVX253" s="26"/>
      <c r="BVY253" s="26"/>
      <c r="BVZ253" s="26"/>
      <c r="BWA253" s="26"/>
      <c r="BWB253" s="26"/>
      <c r="BWC253" s="26"/>
      <c r="BWD253" s="26"/>
      <c r="BWE253" s="26"/>
      <c r="BWF253" s="26"/>
      <c r="BWG253" s="26"/>
      <c r="BWH253" s="26"/>
      <c r="BWI253" s="26"/>
      <c r="BWJ253" s="26"/>
      <c r="BWK253" s="26"/>
      <c r="BWL253" s="26"/>
      <c r="BWM253" s="26"/>
      <c r="BWN253" s="26"/>
      <c r="BWO253" s="26"/>
      <c r="BWP253" s="26"/>
      <c r="BWQ253" s="26"/>
      <c r="BWR253" s="26"/>
      <c r="BWS253" s="26"/>
      <c r="BWT253" s="26"/>
      <c r="BWU253" s="26"/>
      <c r="BWV253" s="26"/>
      <c r="BWW253" s="26"/>
      <c r="BWX253" s="26"/>
      <c r="BWY253" s="26"/>
      <c r="BWZ253" s="26"/>
      <c r="BXA253" s="26"/>
      <c r="BXB253" s="26"/>
      <c r="BXC253" s="26"/>
      <c r="BXD253" s="26"/>
      <c r="BXE253" s="26"/>
      <c r="BXF253" s="26"/>
      <c r="BXG253" s="26"/>
      <c r="BXH253" s="26"/>
      <c r="BXI253" s="26"/>
      <c r="BXJ253" s="26"/>
      <c r="BXK253" s="26"/>
      <c r="BXL253" s="26"/>
      <c r="BXM253" s="26"/>
      <c r="BXN253" s="26"/>
      <c r="BXO253" s="26"/>
      <c r="BXP253" s="26"/>
      <c r="BXQ253" s="26"/>
      <c r="BXR253" s="26"/>
      <c r="BXS253" s="26"/>
      <c r="BXT253" s="26"/>
      <c r="BXU253" s="26"/>
      <c r="BXV253" s="26"/>
      <c r="BXW253" s="26"/>
      <c r="BXX253" s="26"/>
      <c r="BXY253" s="26"/>
      <c r="BXZ253" s="26"/>
      <c r="BYA253" s="26"/>
      <c r="BYB253" s="26"/>
      <c r="BYC253" s="26"/>
      <c r="BYD253" s="26"/>
      <c r="BYE253" s="26"/>
      <c r="BYF253" s="26"/>
      <c r="BYG253" s="26"/>
      <c r="BYH253" s="26"/>
      <c r="BYI253" s="26"/>
      <c r="BYJ253" s="26"/>
      <c r="BYK253" s="26"/>
      <c r="BYL253" s="26"/>
      <c r="BYM253" s="26"/>
      <c r="BYN253" s="26"/>
      <c r="BYO253" s="26"/>
      <c r="BYP253" s="26"/>
      <c r="BYQ253" s="26"/>
      <c r="BYR253" s="26"/>
      <c r="BYS253" s="26"/>
      <c r="BYT253" s="26"/>
      <c r="BYU253" s="26"/>
      <c r="BYV253" s="26"/>
      <c r="BYW253" s="26"/>
      <c r="BYX253" s="26"/>
      <c r="BYY253" s="26"/>
      <c r="BYZ253" s="26"/>
      <c r="BZA253" s="26"/>
      <c r="BZB253" s="26"/>
      <c r="BZC253" s="26"/>
      <c r="BZD253" s="26"/>
      <c r="BZE253" s="26"/>
      <c r="BZF253" s="26"/>
      <c r="BZG253" s="26"/>
      <c r="BZH253" s="26"/>
      <c r="BZI253" s="26"/>
      <c r="BZJ253" s="26"/>
      <c r="BZK253" s="26"/>
      <c r="BZL253" s="26"/>
      <c r="BZM253" s="26"/>
      <c r="BZN253" s="26"/>
      <c r="BZO253" s="26"/>
      <c r="BZP253" s="26"/>
      <c r="BZQ253" s="26"/>
      <c r="BZR253" s="26"/>
      <c r="BZS253" s="26"/>
      <c r="BZT253" s="26"/>
      <c r="BZU253" s="26"/>
      <c r="BZV253" s="26"/>
      <c r="BZW253" s="26"/>
      <c r="BZX253" s="26"/>
      <c r="BZY253" s="26"/>
      <c r="BZZ253" s="26"/>
      <c r="CAA253" s="26"/>
      <c r="CAB253" s="26"/>
      <c r="CAC253" s="26"/>
      <c r="CAD253" s="26"/>
      <c r="CAE253" s="26"/>
      <c r="CAF253" s="26"/>
      <c r="CAG253" s="26"/>
      <c r="CAH253" s="26"/>
      <c r="CAI253" s="26"/>
      <c r="CAJ253" s="26"/>
      <c r="CAK253" s="26"/>
      <c r="CAL253" s="26"/>
      <c r="CAM253" s="26"/>
      <c r="CAN253" s="26"/>
      <c r="CAO253" s="26"/>
      <c r="CAP253" s="26"/>
      <c r="CAQ253" s="26"/>
      <c r="CAR253" s="26"/>
      <c r="CAS253" s="26"/>
      <c r="CAT253" s="26"/>
      <c r="CAU253" s="26"/>
      <c r="CAV253" s="26"/>
      <c r="CAW253" s="26"/>
      <c r="CAX253" s="26"/>
      <c r="CAY253" s="26"/>
      <c r="CAZ253" s="26"/>
      <c r="CBA253" s="26"/>
      <c r="CBB253" s="26"/>
      <c r="CBC253" s="26"/>
      <c r="CBD253" s="26"/>
      <c r="CBE253" s="26"/>
      <c r="CBF253" s="26"/>
      <c r="CBG253" s="26"/>
      <c r="CBH253" s="26"/>
      <c r="CBI253" s="26"/>
      <c r="CBJ253" s="26"/>
      <c r="CBK253" s="26"/>
      <c r="CBL253" s="26"/>
      <c r="CBM253" s="26"/>
      <c r="CBN253" s="26"/>
      <c r="CBO253" s="26"/>
      <c r="CBP253" s="26"/>
      <c r="CBQ253" s="26"/>
      <c r="CBR253" s="26"/>
      <c r="CBS253" s="26"/>
      <c r="CBT253" s="26"/>
      <c r="CBU253" s="26"/>
      <c r="CBV253" s="26"/>
      <c r="CBW253" s="26"/>
      <c r="CBX253" s="26"/>
      <c r="CBY253" s="26"/>
      <c r="CBZ253" s="26"/>
      <c r="CCA253" s="26"/>
      <c r="CCB253" s="26"/>
      <c r="CCC253" s="26"/>
      <c r="CCD253" s="26"/>
      <c r="CCE253" s="26"/>
      <c r="CCF253" s="26"/>
      <c r="CCG253" s="26"/>
      <c r="CCH253" s="26"/>
      <c r="CCI253" s="26"/>
      <c r="CCJ253" s="26"/>
      <c r="CCK253" s="26"/>
      <c r="CCL253" s="26"/>
      <c r="CCM253" s="26"/>
      <c r="CCN253" s="26"/>
      <c r="CCO253" s="26"/>
      <c r="CCP253" s="26"/>
      <c r="CCQ253" s="26"/>
      <c r="CCR253" s="26"/>
      <c r="CCS253" s="26"/>
      <c r="CCT253" s="26"/>
      <c r="CCU253" s="26"/>
      <c r="CCV253" s="26"/>
      <c r="CCW253" s="26"/>
      <c r="CCX253" s="26"/>
      <c r="CCY253" s="26"/>
      <c r="CCZ253" s="26"/>
      <c r="CDA253" s="26"/>
      <c r="CDB253" s="26"/>
      <c r="CDC253" s="26"/>
      <c r="CDD253" s="26"/>
      <c r="CDE253" s="26"/>
      <c r="CDF253" s="26"/>
      <c r="CDG253" s="26"/>
      <c r="CDH253" s="26"/>
      <c r="CDI253" s="26"/>
      <c r="CDJ253" s="26"/>
      <c r="CDK253" s="26"/>
      <c r="CDL253" s="26"/>
      <c r="CDM253" s="26"/>
      <c r="CDN253" s="26"/>
      <c r="CDO253" s="26"/>
      <c r="CDP253" s="26"/>
      <c r="CDQ253" s="26"/>
      <c r="CDR253" s="26"/>
      <c r="CDS253" s="26"/>
      <c r="CDT253" s="26"/>
      <c r="CDU253" s="26"/>
      <c r="CDV253" s="26"/>
      <c r="CDW253" s="26"/>
      <c r="CDX253" s="26"/>
      <c r="CDY253" s="26"/>
      <c r="CDZ253" s="26"/>
      <c r="CEA253" s="26"/>
      <c r="CEB253" s="26"/>
      <c r="CEC253" s="26"/>
      <c r="CED253" s="26"/>
      <c r="CEE253" s="26"/>
      <c r="CEF253" s="26"/>
      <c r="CEG253" s="26"/>
      <c r="CEH253" s="26"/>
      <c r="CEI253" s="26"/>
      <c r="CEJ253" s="26"/>
      <c r="CEK253" s="26"/>
      <c r="CEL253" s="26"/>
      <c r="CEM253" s="26"/>
      <c r="CEN253" s="26"/>
      <c r="CEO253" s="26"/>
      <c r="CEP253" s="26"/>
      <c r="CEQ253" s="26"/>
      <c r="CER253" s="26"/>
      <c r="CES253" s="26"/>
      <c r="CET253" s="26"/>
      <c r="CEU253" s="26"/>
      <c r="CEV253" s="26"/>
      <c r="CEW253" s="26"/>
      <c r="CEX253" s="26"/>
      <c r="CEY253" s="26"/>
      <c r="CEZ253" s="26"/>
      <c r="CFA253" s="26"/>
      <c r="CFB253" s="26"/>
      <c r="CFC253" s="26"/>
      <c r="CFD253" s="26"/>
      <c r="CFE253" s="26"/>
      <c r="CFF253" s="26"/>
      <c r="CFG253" s="26"/>
      <c r="CFH253" s="26"/>
      <c r="CFI253" s="26"/>
      <c r="CFJ253" s="26"/>
      <c r="CFK253" s="26"/>
      <c r="CFL253" s="26"/>
      <c r="CFM253" s="26"/>
      <c r="CFN253" s="26"/>
      <c r="CFO253" s="26"/>
      <c r="CFP253" s="26"/>
      <c r="CFQ253" s="26"/>
      <c r="CFR253" s="26"/>
      <c r="CFS253" s="26"/>
      <c r="CFT253" s="26"/>
      <c r="CFU253" s="26"/>
      <c r="CFV253" s="26"/>
      <c r="CFW253" s="26"/>
      <c r="CFX253" s="26"/>
      <c r="CFY253" s="26"/>
      <c r="CFZ253" s="26"/>
      <c r="CGA253" s="26"/>
      <c r="CGB253" s="26"/>
      <c r="CGC253" s="26"/>
      <c r="CGD253" s="26"/>
      <c r="CGE253" s="26"/>
      <c r="CGF253" s="26"/>
      <c r="CGG253" s="26"/>
      <c r="CGH253" s="26"/>
      <c r="CGI253" s="26"/>
      <c r="CGJ253" s="26"/>
      <c r="CGK253" s="26"/>
      <c r="CGL253" s="26"/>
      <c r="CGM253" s="26"/>
      <c r="CGN253" s="26"/>
      <c r="CGO253" s="26"/>
      <c r="CGP253" s="26"/>
      <c r="CGQ253" s="26"/>
      <c r="CGR253" s="26"/>
      <c r="CGS253" s="26"/>
      <c r="CGT253" s="26"/>
      <c r="CGU253" s="26"/>
      <c r="CGV253" s="26"/>
      <c r="CGW253" s="26"/>
      <c r="CGX253" s="26"/>
      <c r="CGY253" s="26"/>
      <c r="CGZ253" s="26"/>
      <c r="CHA253" s="26"/>
      <c r="CHB253" s="26"/>
      <c r="CHC253" s="26"/>
      <c r="CHD253" s="26"/>
      <c r="CHE253" s="26"/>
      <c r="CHF253" s="26"/>
      <c r="CHG253" s="26"/>
      <c r="CHH253" s="26"/>
      <c r="CHI253" s="26"/>
      <c r="CHJ253" s="26"/>
      <c r="CHK253" s="26"/>
      <c r="CHL253" s="26"/>
      <c r="CHM253" s="26"/>
      <c r="CHN253" s="26"/>
      <c r="CHO253" s="26"/>
      <c r="CHP253" s="26"/>
      <c r="CHQ253" s="26"/>
      <c r="CHR253" s="26"/>
      <c r="CHS253" s="26"/>
      <c r="CHT253" s="26"/>
      <c r="CHU253" s="26"/>
      <c r="CHV253" s="26"/>
      <c r="CHW253" s="26"/>
      <c r="CHX253" s="26"/>
      <c r="CHY253" s="26"/>
      <c r="CHZ253" s="26"/>
      <c r="CIA253" s="26"/>
      <c r="CIB253" s="26"/>
      <c r="CIC253" s="26"/>
      <c r="CID253" s="26"/>
      <c r="CIE253" s="26"/>
      <c r="CIF253" s="26"/>
      <c r="CIG253" s="26"/>
      <c r="CIH253" s="26"/>
      <c r="CII253" s="26"/>
      <c r="CIJ253" s="26"/>
      <c r="CIK253" s="26"/>
      <c r="CIL253" s="26"/>
      <c r="CIM253" s="26"/>
      <c r="CIN253" s="26"/>
      <c r="CIO253" s="26"/>
      <c r="CIP253" s="26"/>
      <c r="CIQ253" s="26"/>
      <c r="CIR253" s="26"/>
      <c r="CIS253" s="26"/>
      <c r="CIT253" s="26"/>
      <c r="CIU253" s="26"/>
      <c r="CIV253" s="26"/>
      <c r="CIW253" s="26"/>
      <c r="CIX253" s="26"/>
      <c r="CIY253" s="26"/>
      <c r="CIZ253" s="26"/>
      <c r="CJA253" s="26"/>
      <c r="CJB253" s="26"/>
      <c r="CJC253" s="26"/>
      <c r="CJD253" s="26"/>
      <c r="CJE253" s="26"/>
      <c r="CJF253" s="26"/>
      <c r="CJG253" s="26"/>
      <c r="CJH253" s="26"/>
      <c r="CJI253" s="26"/>
      <c r="CJJ253" s="26"/>
      <c r="CJK253" s="26"/>
      <c r="CJL253" s="26"/>
      <c r="CJM253" s="26"/>
      <c r="CJN253" s="26"/>
      <c r="CJO253" s="26"/>
      <c r="CJP253" s="26"/>
      <c r="CJQ253" s="26"/>
      <c r="CJR253" s="26"/>
      <c r="CJS253" s="26"/>
      <c r="CJT253" s="26"/>
      <c r="CJU253" s="26"/>
      <c r="CJV253" s="26"/>
      <c r="CJW253" s="26"/>
      <c r="CJX253" s="26"/>
      <c r="CJY253" s="26"/>
      <c r="CJZ253" s="26"/>
      <c r="CKA253" s="26"/>
      <c r="CKB253" s="26"/>
      <c r="CKC253" s="26"/>
      <c r="CKD253" s="26"/>
      <c r="CKE253" s="26"/>
      <c r="CKF253" s="26"/>
      <c r="CKG253" s="26"/>
      <c r="CKH253" s="26"/>
      <c r="CKI253" s="26"/>
      <c r="CKJ253" s="26"/>
      <c r="CKK253" s="26"/>
      <c r="CKL253" s="26"/>
      <c r="CKM253" s="26"/>
      <c r="CKN253" s="26"/>
    </row>
    <row r="254" spans="1:2328" ht="18.600000000000001" customHeight="1" x14ac:dyDescent="0.25">
      <c r="A254" s="60" t="s">
        <v>93</v>
      </c>
      <c r="B254" s="2" t="s">
        <v>1094</v>
      </c>
      <c r="C254" s="3" t="s">
        <v>5071</v>
      </c>
      <c r="D254" s="12" t="s">
        <v>5070</v>
      </c>
      <c r="E254" s="12" t="s">
        <v>5665</v>
      </c>
      <c r="F254" s="12" t="s">
        <v>5148</v>
      </c>
      <c r="G254" s="25">
        <v>261761</v>
      </c>
      <c r="H254" s="25">
        <v>222718</v>
      </c>
      <c r="I254" s="25">
        <v>11335</v>
      </c>
      <c r="J254" s="25">
        <v>15879</v>
      </c>
      <c r="K254" s="25">
        <v>377315</v>
      </c>
      <c r="L254" s="25">
        <v>123730</v>
      </c>
      <c r="M254" s="25">
        <v>501045</v>
      </c>
      <c r="N254" s="31">
        <v>0.75</v>
      </c>
      <c r="O254" s="25">
        <v>4976</v>
      </c>
      <c r="P254" s="25">
        <v>21</v>
      </c>
      <c r="Q254" s="25">
        <v>6859</v>
      </c>
      <c r="R254" s="25">
        <v>609</v>
      </c>
      <c r="S254" s="25">
        <v>3373</v>
      </c>
      <c r="T254" s="25">
        <v>135</v>
      </c>
      <c r="U254" s="61">
        <v>852</v>
      </c>
      <c r="V254" s="58">
        <v>1.89E-2</v>
      </c>
      <c r="W254" s="33">
        <v>1.95E-2</v>
      </c>
      <c r="X254" s="33">
        <v>6.8999999999999999E-3</v>
      </c>
      <c r="Y254" s="33">
        <v>1.3100000000000001E-2</v>
      </c>
      <c r="Z254" s="33">
        <v>1.7899999999999999E-2</v>
      </c>
      <c r="AA254" s="33">
        <v>0.15770000000000001</v>
      </c>
      <c r="AB254" s="25">
        <v>381</v>
      </c>
      <c r="AC254" s="25">
        <v>330</v>
      </c>
      <c r="AD254" s="25">
        <v>5</v>
      </c>
      <c r="AE254" s="25">
        <v>18</v>
      </c>
      <c r="AF254" s="25">
        <v>24</v>
      </c>
      <c r="AG254" s="25">
        <v>3</v>
      </c>
      <c r="AH254" s="25">
        <v>1</v>
      </c>
      <c r="AI254" s="12">
        <v>0.87</v>
      </c>
      <c r="AJ254" s="25">
        <v>39495</v>
      </c>
      <c r="AK254" s="25">
        <v>0</v>
      </c>
      <c r="AL254" s="31">
        <v>0</v>
      </c>
      <c r="AM254" s="3" t="s">
        <v>5071</v>
      </c>
      <c r="AN254" s="12" t="s">
        <v>5069</v>
      </c>
      <c r="AO254" s="12" t="s">
        <v>5665</v>
      </c>
      <c r="AP254" s="12" t="str">
        <f>"1303533473022789"</f>
        <v>1303533473022789</v>
      </c>
      <c r="AQ254" s="12" t="s">
        <v>5070</v>
      </c>
      <c r="AR254" s="12" t="s">
        <v>5955</v>
      </c>
      <c r="AS254" s="12" t="s">
        <v>5412</v>
      </c>
      <c r="AT254" s="12"/>
      <c r="AU254" s="12" t="s">
        <v>309</v>
      </c>
      <c r="AV254" s="12"/>
      <c r="AW254" s="12"/>
      <c r="AX254" s="12">
        <v>0</v>
      </c>
      <c r="AY254" s="12">
        <v>5823</v>
      </c>
      <c r="AZ254" s="12">
        <v>0</v>
      </c>
      <c r="BA254" s="12" t="s">
        <v>5956</v>
      </c>
      <c r="BB254" s="12"/>
      <c r="BC254" s="12" t="s">
        <v>7031</v>
      </c>
      <c r="BD254" s="12"/>
      <c r="BE254" s="12" t="s">
        <v>2291</v>
      </c>
      <c r="BF254" s="12"/>
      <c r="BG254" s="12"/>
      <c r="BH254" s="12"/>
      <c r="BI254" s="12" t="s">
        <v>5957</v>
      </c>
      <c r="BJ254" s="12"/>
      <c r="BK254" s="12"/>
      <c r="BL254" s="12" t="s">
        <v>2292</v>
      </c>
      <c r="BM254" s="12" t="s">
        <v>2292</v>
      </c>
      <c r="BN254" s="12" t="s">
        <v>2292</v>
      </c>
      <c r="BO254" s="12" t="s">
        <v>2292</v>
      </c>
      <c r="BP254" s="12"/>
      <c r="BQ254" s="12"/>
      <c r="BR254" s="12"/>
      <c r="BS254" s="12"/>
      <c r="BT254" s="12"/>
      <c r="BU254" s="12"/>
      <c r="BV254" s="12"/>
      <c r="BW254" s="12"/>
      <c r="BX254" s="12"/>
      <c r="BY254" s="13" t="s">
        <v>313</v>
      </c>
      <c r="BZ254" s="13" t="s">
        <v>6170</v>
      </c>
      <c r="CA254" s="13" t="s">
        <v>6170</v>
      </c>
      <c r="CB254" s="13" t="s">
        <v>6197</v>
      </c>
      <c r="CC254" s="13"/>
      <c r="CD254" s="13" t="s">
        <v>6198</v>
      </c>
      <c r="CE254" s="13"/>
      <c r="CF254" s="13"/>
    </row>
    <row r="255" spans="1:2328" ht="18.600000000000001" customHeight="1" x14ac:dyDescent="0.25">
      <c r="A255" s="60" t="s">
        <v>94</v>
      </c>
      <c r="B255" s="2" t="s">
        <v>5042</v>
      </c>
      <c r="C255" s="3" t="s">
        <v>5043</v>
      </c>
      <c r="D255" s="12" t="s">
        <v>5044</v>
      </c>
      <c r="E255" s="12" t="s">
        <v>5115</v>
      </c>
      <c r="F255" s="12" t="s">
        <v>5116</v>
      </c>
      <c r="G255" s="25">
        <v>942409</v>
      </c>
      <c r="H255" s="25">
        <v>716237</v>
      </c>
      <c r="I255" s="25">
        <v>75694</v>
      </c>
      <c r="J255" s="25">
        <v>106601</v>
      </c>
      <c r="K255" s="25">
        <v>3617532</v>
      </c>
      <c r="L255" s="25">
        <v>4125592</v>
      </c>
      <c r="M255" s="25">
        <v>7743124</v>
      </c>
      <c r="N255" s="31">
        <v>0.47</v>
      </c>
      <c r="O255" s="25">
        <v>1014522</v>
      </c>
      <c r="P255" s="25">
        <v>769719</v>
      </c>
      <c r="Q255" s="25">
        <v>20770</v>
      </c>
      <c r="R255" s="25">
        <v>7538</v>
      </c>
      <c r="S255" s="25">
        <v>4348</v>
      </c>
      <c r="T255" s="25">
        <v>3030</v>
      </c>
      <c r="U255" s="61">
        <v>8179</v>
      </c>
      <c r="V255" s="58">
        <v>7.7000000000000002E-3</v>
      </c>
      <c r="W255" s="33">
        <v>1.03E-2</v>
      </c>
      <c r="X255" s="33">
        <v>3.0000000000000001E-3</v>
      </c>
      <c r="Y255" s="33">
        <v>4.5999999999999999E-3</v>
      </c>
      <c r="Z255" s="33">
        <v>9.1000000000000004E-3</v>
      </c>
      <c r="AA255" s="33">
        <v>2.5999999999999999E-3</v>
      </c>
      <c r="AB255" s="25">
        <v>330</v>
      </c>
      <c r="AC255" s="25">
        <v>139</v>
      </c>
      <c r="AD255" s="25">
        <v>14</v>
      </c>
      <c r="AE255" s="25">
        <v>7</v>
      </c>
      <c r="AF255" s="25">
        <v>99</v>
      </c>
      <c r="AG255" s="25">
        <v>58</v>
      </c>
      <c r="AH255" s="25">
        <v>13</v>
      </c>
      <c r="AI255" s="12">
        <v>0.75</v>
      </c>
      <c r="AJ255" s="25">
        <v>417669</v>
      </c>
      <c r="AK255" s="25">
        <v>91780</v>
      </c>
      <c r="AL255" s="33">
        <v>0.28160000000000002</v>
      </c>
      <c r="AM255" s="3" t="s">
        <v>5043</v>
      </c>
      <c r="AN255" s="12" t="s">
        <v>5115</v>
      </c>
      <c r="AO255" s="12" t="s">
        <v>5115</v>
      </c>
      <c r="AP255" s="12" t="str">
        <f>"551203304961503"</f>
        <v>551203304961503</v>
      </c>
      <c r="AQ255" s="12" t="s">
        <v>5044</v>
      </c>
      <c r="AR255" s="12" t="s">
        <v>5337</v>
      </c>
      <c r="AS255" s="12" t="s">
        <v>5338</v>
      </c>
      <c r="AT255" s="12"/>
      <c r="AU255" s="12" t="s">
        <v>309</v>
      </c>
      <c r="AV255" s="12"/>
      <c r="AW255" s="12"/>
      <c r="AX255" s="12">
        <v>0</v>
      </c>
      <c r="AY255" s="12">
        <v>1428</v>
      </c>
      <c r="AZ255" s="12">
        <v>0</v>
      </c>
      <c r="BA255" s="12" t="s">
        <v>5339</v>
      </c>
      <c r="BB255" s="12"/>
      <c r="BC255" s="12" t="s">
        <v>6739</v>
      </c>
      <c r="BD255" s="12"/>
      <c r="BE255" s="12" t="s">
        <v>2291</v>
      </c>
      <c r="BF255" s="12"/>
      <c r="BG255" s="12"/>
      <c r="BH255" s="12"/>
      <c r="BI255" s="12"/>
      <c r="BJ255" s="12"/>
      <c r="BK255" s="12"/>
      <c r="BL255" s="12" t="s">
        <v>2292</v>
      </c>
      <c r="BM255" s="12" t="s">
        <v>2292</v>
      </c>
      <c r="BN255" s="12" t="s">
        <v>2292</v>
      </c>
      <c r="BO255" s="12" t="s">
        <v>2291</v>
      </c>
      <c r="BP255" s="12"/>
      <c r="BQ255" s="12"/>
      <c r="BR255" s="12"/>
      <c r="BS255" s="12"/>
      <c r="BT255" s="12"/>
      <c r="BU255" s="12"/>
      <c r="BV255" s="12"/>
      <c r="BW255" s="12"/>
      <c r="BX255" s="12"/>
      <c r="BY255" s="13" t="s">
        <v>313</v>
      </c>
      <c r="BZ255" s="13" t="s">
        <v>6173</v>
      </c>
      <c r="CA255" s="13" t="s">
        <v>6170</v>
      </c>
      <c r="CB255" s="13" t="s">
        <v>312</v>
      </c>
      <c r="CC255" s="13"/>
      <c r="CD255" s="13" t="s">
        <v>6198</v>
      </c>
      <c r="CE255" s="13"/>
      <c r="CF255" s="13"/>
    </row>
    <row r="256" spans="1:2328" ht="18.600000000000001" customHeight="1" x14ac:dyDescent="0.25">
      <c r="A256" s="60" t="s">
        <v>94</v>
      </c>
      <c r="B256" s="11" t="s">
        <v>5620</v>
      </c>
      <c r="C256" s="3" t="s">
        <v>5619</v>
      </c>
      <c r="D256" s="12" t="s">
        <v>5681</v>
      </c>
      <c r="E256" s="12" t="s">
        <v>5682</v>
      </c>
      <c r="F256" s="12" t="s">
        <v>5683</v>
      </c>
      <c r="G256" s="25">
        <v>79</v>
      </c>
      <c r="H256" s="25">
        <v>43</v>
      </c>
      <c r="I256" s="25">
        <v>28</v>
      </c>
      <c r="J256" s="25">
        <v>6</v>
      </c>
      <c r="K256" s="25">
        <v>190</v>
      </c>
      <c r="L256" s="25">
        <v>445</v>
      </c>
      <c r="M256" s="25">
        <v>635</v>
      </c>
      <c r="N256" s="31">
        <v>0.3</v>
      </c>
      <c r="O256" s="25">
        <v>70</v>
      </c>
      <c r="P256" s="25">
        <v>0</v>
      </c>
      <c r="Q256" s="25">
        <v>2</v>
      </c>
      <c r="R256" s="25">
        <v>0</v>
      </c>
      <c r="S256" s="25">
        <v>0</v>
      </c>
      <c r="T256" s="25">
        <v>0</v>
      </c>
      <c r="U256" s="61">
        <v>0</v>
      </c>
      <c r="V256" s="58">
        <v>8.6E-3</v>
      </c>
      <c r="W256" s="33">
        <v>0</v>
      </c>
      <c r="X256" s="33">
        <v>1.03E-2</v>
      </c>
      <c r="Y256" s="33">
        <v>7.4099999999999999E-2</v>
      </c>
      <c r="Z256" s="33">
        <v>1.7100000000000001E-2</v>
      </c>
      <c r="AA256" s="33">
        <v>0</v>
      </c>
      <c r="AB256" s="25">
        <v>77</v>
      </c>
      <c r="AC256" s="25">
        <v>28</v>
      </c>
      <c r="AD256" s="25">
        <v>35</v>
      </c>
      <c r="AE256" s="25">
        <v>1</v>
      </c>
      <c r="AF256" s="25">
        <v>4</v>
      </c>
      <c r="AG256" s="25">
        <v>8</v>
      </c>
      <c r="AH256" s="25">
        <v>1</v>
      </c>
      <c r="AI256" s="12">
        <v>0.18</v>
      </c>
      <c r="AJ256" s="25">
        <v>178</v>
      </c>
      <c r="AK256" s="25">
        <v>0</v>
      </c>
      <c r="AL256" s="31">
        <v>0</v>
      </c>
      <c r="AM256" s="3" t="s">
        <v>5619</v>
      </c>
      <c r="AN256" s="12" t="s">
        <v>5682</v>
      </c>
      <c r="AO256" s="12" t="s">
        <v>5682</v>
      </c>
      <c r="AP256" s="12" t="str">
        <f>"133212600719841"</f>
        <v>133212600719841</v>
      </c>
      <c r="AQ256" s="12" t="s">
        <v>5681</v>
      </c>
      <c r="AR256" s="12"/>
      <c r="AS256" s="12" t="s">
        <v>6049</v>
      </c>
      <c r="AT256" s="12" t="s">
        <v>6050</v>
      </c>
      <c r="AU256" s="12" t="s">
        <v>309</v>
      </c>
      <c r="AV256" s="12"/>
      <c r="AW256" s="12"/>
      <c r="AX256" s="12">
        <v>0</v>
      </c>
      <c r="AY256" s="12">
        <v>5</v>
      </c>
      <c r="AZ256" s="12">
        <v>0</v>
      </c>
      <c r="BA256" s="12" t="s">
        <v>6051</v>
      </c>
      <c r="BB256" s="12"/>
      <c r="BC256" s="12" t="s">
        <v>7328</v>
      </c>
      <c r="BD256" s="12"/>
      <c r="BE256" s="12" t="s">
        <v>2291</v>
      </c>
      <c r="BF256" s="12"/>
      <c r="BG256" s="12"/>
      <c r="BH256" s="12"/>
      <c r="BI256" s="12" t="s">
        <v>6049</v>
      </c>
      <c r="BJ256" s="12"/>
      <c r="BK256" s="12"/>
      <c r="BL256" s="12" t="s">
        <v>2292</v>
      </c>
      <c r="BM256" s="12" t="s">
        <v>2292</v>
      </c>
      <c r="BN256" s="12" t="s">
        <v>2292</v>
      </c>
      <c r="BO256" s="12" t="s">
        <v>2292</v>
      </c>
      <c r="BP256" s="12"/>
      <c r="BQ256" s="12"/>
      <c r="BR256" s="12"/>
      <c r="BS256" s="12"/>
      <c r="BT256" s="12"/>
      <c r="BU256" s="12"/>
      <c r="BV256" s="12"/>
      <c r="BW256" s="12"/>
      <c r="BX256" s="12"/>
      <c r="BY256" s="13" t="s">
        <v>313</v>
      </c>
      <c r="BZ256" s="13" t="s">
        <v>6174</v>
      </c>
      <c r="CA256" s="13"/>
      <c r="CB256" s="13"/>
      <c r="CC256" s="13"/>
      <c r="CD256" s="13"/>
      <c r="CE256" s="13"/>
      <c r="CF256" s="13" t="s">
        <v>6178</v>
      </c>
    </row>
    <row r="257" spans="1:84" ht="18.600000000000001" customHeight="1" x14ac:dyDescent="0.25">
      <c r="A257" s="60" t="s">
        <v>94</v>
      </c>
      <c r="B257" s="2" t="s">
        <v>315</v>
      </c>
      <c r="C257" s="3" t="s">
        <v>3133</v>
      </c>
      <c r="D257" s="12" t="s">
        <v>1095</v>
      </c>
      <c r="E257" s="12"/>
      <c r="F257" s="12" t="s">
        <v>4444</v>
      </c>
      <c r="G257" s="25">
        <v>0</v>
      </c>
      <c r="H257" s="25">
        <v>0</v>
      </c>
      <c r="I257" s="25">
        <v>0</v>
      </c>
      <c r="J257" s="25">
        <v>0</v>
      </c>
      <c r="K257" s="25">
        <v>0</v>
      </c>
      <c r="L257" s="25">
        <v>0</v>
      </c>
      <c r="M257" s="25">
        <v>0</v>
      </c>
      <c r="N257" s="31">
        <v>0</v>
      </c>
      <c r="O257" s="25">
        <v>0</v>
      </c>
      <c r="P257" s="25">
        <v>0</v>
      </c>
      <c r="Q257" s="25">
        <v>0</v>
      </c>
      <c r="R257" s="25">
        <v>0</v>
      </c>
      <c r="S257" s="25">
        <v>0</v>
      </c>
      <c r="T257" s="25">
        <v>0</v>
      </c>
      <c r="U257" s="61">
        <v>0</v>
      </c>
      <c r="V257" s="59"/>
      <c r="W257" s="12" t="s">
        <v>3926</v>
      </c>
      <c r="X257" s="12" t="s">
        <v>3926</v>
      </c>
      <c r="Y257" s="12" t="s">
        <v>3926</v>
      </c>
      <c r="Z257" s="12" t="s">
        <v>3926</v>
      </c>
      <c r="AA257" s="12" t="s">
        <v>3926</v>
      </c>
      <c r="AB257" s="25" t="s">
        <v>3927</v>
      </c>
      <c r="AC257" s="25">
        <v>0</v>
      </c>
      <c r="AD257" s="25">
        <v>0</v>
      </c>
      <c r="AE257" s="25">
        <v>0</v>
      </c>
      <c r="AF257" s="25">
        <v>0</v>
      </c>
      <c r="AG257" s="25">
        <v>0</v>
      </c>
      <c r="AH257" s="25">
        <v>0</v>
      </c>
      <c r="AI257" s="12">
        <v>0</v>
      </c>
      <c r="AJ257" s="25">
        <v>25</v>
      </c>
      <c r="AK257" s="25">
        <v>11</v>
      </c>
      <c r="AL257" s="33">
        <v>0.78569999999999995</v>
      </c>
      <c r="AM257" s="3" t="s">
        <v>3133</v>
      </c>
      <c r="AN257" s="12" t="s">
        <v>5439</v>
      </c>
      <c r="AO257" s="12"/>
      <c r="AP257" s="12" t="str">
        <f>"135047926675334"</f>
        <v>135047926675334</v>
      </c>
      <c r="AQ257" s="12" t="s">
        <v>1095</v>
      </c>
      <c r="AR257" s="12" t="s">
        <v>1096</v>
      </c>
      <c r="AS257" s="12" t="s">
        <v>1097</v>
      </c>
      <c r="AT257" s="12"/>
      <c r="AU257" s="12" t="s">
        <v>324</v>
      </c>
      <c r="AV257" s="12"/>
      <c r="AW257" s="12"/>
      <c r="AX257" s="12">
        <v>0</v>
      </c>
      <c r="AY257" s="12">
        <v>0</v>
      </c>
      <c r="AZ257" s="12">
        <v>0</v>
      </c>
      <c r="BA257" s="12" t="s">
        <v>1098</v>
      </c>
      <c r="BB257" s="12"/>
      <c r="BC257" s="12"/>
      <c r="BD257" s="12"/>
      <c r="BE257" s="12" t="s">
        <v>2291</v>
      </c>
      <c r="BF257" s="12"/>
      <c r="BG257" s="12"/>
      <c r="BH257" s="12"/>
      <c r="BI257" s="12"/>
      <c r="BJ257" s="12"/>
      <c r="BK257" s="12"/>
      <c r="BL257" s="12" t="s">
        <v>2292</v>
      </c>
      <c r="BM257" s="12" t="s">
        <v>2292</v>
      </c>
      <c r="BN257" s="12" t="s">
        <v>2292</v>
      </c>
      <c r="BO257" s="12" t="s">
        <v>2292</v>
      </c>
      <c r="BP257" s="12"/>
      <c r="BQ257" s="12"/>
      <c r="BR257" s="12"/>
      <c r="BS257" s="12"/>
      <c r="BT257" s="12"/>
      <c r="BU257" s="12"/>
      <c r="BV257" s="12"/>
      <c r="BW257" s="12"/>
      <c r="BX257" s="12"/>
      <c r="BY257" s="14" t="s">
        <v>370</v>
      </c>
      <c r="BZ257" s="13" t="s">
        <v>6170</v>
      </c>
      <c r="CA257" s="13" t="s">
        <v>6170</v>
      </c>
      <c r="CB257" s="13" t="s">
        <v>312</v>
      </c>
      <c r="CC257" s="13"/>
      <c r="CD257" s="13" t="s">
        <v>6198</v>
      </c>
      <c r="CE257" s="13" t="s">
        <v>6184</v>
      </c>
      <c r="CF257" s="13"/>
    </row>
    <row r="258" spans="1:84" ht="18.600000000000001" customHeight="1" x14ac:dyDescent="0.25">
      <c r="A258" s="60" t="s">
        <v>94</v>
      </c>
      <c r="B258" s="2" t="s">
        <v>315</v>
      </c>
      <c r="C258" s="3" t="s">
        <v>3099</v>
      </c>
      <c r="D258" s="12" t="s">
        <v>1108</v>
      </c>
      <c r="E258" s="12" t="s">
        <v>1107</v>
      </c>
      <c r="F258" s="12" t="s">
        <v>4435</v>
      </c>
      <c r="G258" s="25">
        <v>1557</v>
      </c>
      <c r="H258" s="25">
        <v>1111</v>
      </c>
      <c r="I258" s="25">
        <v>24</v>
      </c>
      <c r="J258" s="25">
        <v>407</v>
      </c>
      <c r="K258" s="25">
        <v>7831</v>
      </c>
      <c r="L258" s="25">
        <v>3462</v>
      </c>
      <c r="M258" s="25">
        <v>11293</v>
      </c>
      <c r="N258" s="31">
        <v>0.69</v>
      </c>
      <c r="O258" s="25">
        <v>0</v>
      </c>
      <c r="P258" s="25">
        <v>0</v>
      </c>
      <c r="Q258" s="25">
        <v>4</v>
      </c>
      <c r="R258" s="25">
        <v>4</v>
      </c>
      <c r="S258" s="25">
        <v>5</v>
      </c>
      <c r="T258" s="25">
        <v>0</v>
      </c>
      <c r="U258" s="61">
        <v>2</v>
      </c>
      <c r="V258" s="58">
        <v>1.5E-3</v>
      </c>
      <c r="W258" s="33">
        <v>5.9999999999999995E-4</v>
      </c>
      <c r="X258" s="33">
        <v>2.0999999999999999E-3</v>
      </c>
      <c r="Y258" s="12" t="s">
        <v>3926</v>
      </c>
      <c r="Z258" s="33">
        <v>1.6999999999999999E-3</v>
      </c>
      <c r="AA258" s="33">
        <v>8.0000000000000004E-4</v>
      </c>
      <c r="AB258" s="25">
        <v>208</v>
      </c>
      <c r="AC258" s="25">
        <v>75</v>
      </c>
      <c r="AD258" s="25">
        <v>109</v>
      </c>
      <c r="AE258" s="25">
        <v>0</v>
      </c>
      <c r="AF258" s="25">
        <v>22</v>
      </c>
      <c r="AG258" s="25">
        <v>0</v>
      </c>
      <c r="AH258" s="25">
        <v>2</v>
      </c>
      <c r="AI258" s="12">
        <v>0.47</v>
      </c>
      <c r="AJ258" s="25">
        <v>5052</v>
      </c>
      <c r="AK258" s="25">
        <v>651</v>
      </c>
      <c r="AL258" s="33">
        <v>0.1479</v>
      </c>
      <c r="AM258" s="3" t="s">
        <v>3099</v>
      </c>
      <c r="AN258" s="12" t="s">
        <v>1107</v>
      </c>
      <c r="AO258" s="12" t="s">
        <v>1107</v>
      </c>
      <c r="AP258" s="12" t="str">
        <f>"145117162296730"</f>
        <v>145117162296730</v>
      </c>
      <c r="AQ258" s="12" t="s">
        <v>1108</v>
      </c>
      <c r="AR258" s="12" t="s">
        <v>1096</v>
      </c>
      <c r="AS258" s="12" t="s">
        <v>1109</v>
      </c>
      <c r="AT258" s="12"/>
      <c r="AU258" s="12" t="s">
        <v>367</v>
      </c>
      <c r="AV258" s="12" t="s">
        <v>6075</v>
      </c>
      <c r="AW258" s="12"/>
      <c r="AX258" s="12">
        <v>0</v>
      </c>
      <c r="AY258" s="12">
        <v>12</v>
      </c>
      <c r="AZ258" s="12">
        <v>0</v>
      </c>
      <c r="BA258" s="12" t="s">
        <v>1110</v>
      </c>
      <c r="BB258" s="12" t="s">
        <v>7402</v>
      </c>
      <c r="BC258" s="12" t="s">
        <v>7403</v>
      </c>
      <c r="BD258" s="12"/>
      <c r="BE258" s="12" t="s">
        <v>2291</v>
      </c>
      <c r="BF258" s="12"/>
      <c r="BG258" s="12"/>
      <c r="BH258" s="12"/>
      <c r="BI258" s="12" t="s">
        <v>4665</v>
      </c>
      <c r="BJ258" s="12"/>
      <c r="BK258" s="12" t="s">
        <v>6835</v>
      </c>
      <c r="BL258" s="12" t="s">
        <v>2292</v>
      </c>
      <c r="BM258" s="12" t="s">
        <v>2292</v>
      </c>
      <c r="BN258" s="12" t="s">
        <v>2292</v>
      </c>
      <c r="BO258" s="12" t="s">
        <v>2292</v>
      </c>
      <c r="BP258" s="12"/>
      <c r="BQ258" s="12"/>
      <c r="BR258" s="12"/>
      <c r="BS258" s="12"/>
      <c r="BT258" s="12" t="s">
        <v>3701</v>
      </c>
      <c r="BU258" s="12" t="s">
        <v>326</v>
      </c>
      <c r="BV258" s="12"/>
      <c r="BW258" s="12" t="s">
        <v>5496</v>
      </c>
      <c r="BX258" s="12"/>
      <c r="BY258" s="13" t="s">
        <v>313</v>
      </c>
      <c r="BZ258" s="13" t="s">
        <v>6172</v>
      </c>
      <c r="CA258" s="13" t="s">
        <v>6170</v>
      </c>
      <c r="CB258" s="13" t="s">
        <v>312</v>
      </c>
      <c r="CC258" s="13"/>
      <c r="CD258" s="13" t="s">
        <v>6198</v>
      </c>
      <c r="CE258" s="13"/>
      <c r="CF258" s="13"/>
    </row>
    <row r="259" spans="1:84" ht="18.600000000000001" customHeight="1" x14ac:dyDescent="0.25">
      <c r="A259" s="60" t="s">
        <v>94</v>
      </c>
      <c r="B259" s="2" t="s">
        <v>5695</v>
      </c>
      <c r="C259" s="20" t="s">
        <v>5621</v>
      </c>
      <c r="D259" s="12" t="s">
        <v>5676</v>
      </c>
      <c r="E259" s="12" t="s">
        <v>5677</v>
      </c>
      <c r="F259" s="12" t="s">
        <v>5678</v>
      </c>
      <c r="G259" s="25">
        <v>40315</v>
      </c>
      <c r="H259" s="25">
        <v>33120</v>
      </c>
      <c r="I259" s="25">
        <v>1907</v>
      </c>
      <c r="J259" s="25">
        <v>3939</v>
      </c>
      <c r="K259" s="25">
        <v>19682</v>
      </c>
      <c r="L259" s="25">
        <v>11956</v>
      </c>
      <c r="M259" s="25">
        <v>31638</v>
      </c>
      <c r="N259" s="31">
        <v>0.62</v>
      </c>
      <c r="O259" s="25">
        <v>7316</v>
      </c>
      <c r="P259" s="25">
        <v>0</v>
      </c>
      <c r="Q259" s="25">
        <v>349</v>
      </c>
      <c r="R259" s="25">
        <v>380</v>
      </c>
      <c r="S259" s="25">
        <v>258</v>
      </c>
      <c r="T259" s="25">
        <v>54</v>
      </c>
      <c r="U259" s="61">
        <v>308</v>
      </c>
      <c r="V259" s="58">
        <v>1.11E-2</v>
      </c>
      <c r="W259" s="33">
        <v>1.0500000000000001E-2</v>
      </c>
      <c r="X259" s="33">
        <v>1.12E-2</v>
      </c>
      <c r="Y259" s="33">
        <v>1.7500000000000002E-2</v>
      </c>
      <c r="Z259" s="33">
        <v>1.44E-2</v>
      </c>
      <c r="AA259" s="33">
        <v>5.5999999999999999E-3</v>
      </c>
      <c r="AB259" s="25">
        <v>185</v>
      </c>
      <c r="AC259" s="25">
        <v>115</v>
      </c>
      <c r="AD259" s="25">
        <v>20</v>
      </c>
      <c r="AE259" s="25">
        <v>19</v>
      </c>
      <c r="AF259" s="25">
        <v>14</v>
      </c>
      <c r="AG259" s="25">
        <v>6</v>
      </c>
      <c r="AH259" s="25">
        <v>11</v>
      </c>
      <c r="AI259" s="12">
        <v>0.42</v>
      </c>
      <c r="AJ259" s="25">
        <v>19858</v>
      </c>
      <c r="AK259" s="25">
        <v>0</v>
      </c>
      <c r="AL259" s="31">
        <v>0</v>
      </c>
      <c r="AM259" s="20" t="s">
        <v>5621</v>
      </c>
      <c r="AN259" s="12" t="s">
        <v>5677</v>
      </c>
      <c r="AO259" s="12" t="s">
        <v>5677</v>
      </c>
      <c r="AP259" s="12" t="str">
        <f>"289340627785693"</f>
        <v>289340627785693</v>
      </c>
      <c r="AQ259" s="12" t="s">
        <v>5676</v>
      </c>
      <c r="AR259" s="12" t="s">
        <v>6039</v>
      </c>
      <c r="AS259" s="12"/>
      <c r="AT259" s="12"/>
      <c r="AU259" s="12" t="s">
        <v>309</v>
      </c>
      <c r="AV259" s="12"/>
      <c r="AW259" s="12"/>
      <c r="AX259" s="12">
        <v>0</v>
      </c>
      <c r="AY259" s="12">
        <v>517</v>
      </c>
      <c r="AZ259" s="12">
        <v>0</v>
      </c>
      <c r="BA259" s="12" t="s">
        <v>6040</v>
      </c>
      <c r="BB259" s="12" t="s">
        <v>7309</v>
      </c>
      <c r="BC259" s="12" t="s">
        <v>7310</v>
      </c>
      <c r="BD259" s="12"/>
      <c r="BE259" s="12" t="s">
        <v>2291</v>
      </c>
      <c r="BF259" s="12"/>
      <c r="BG259" s="12"/>
      <c r="BH259" s="12"/>
      <c r="BI259" s="12"/>
      <c r="BJ259" s="12"/>
      <c r="BK259" s="12"/>
      <c r="BL259" s="12" t="s">
        <v>2292</v>
      </c>
      <c r="BM259" s="12" t="s">
        <v>2292</v>
      </c>
      <c r="BN259" s="12" t="s">
        <v>2292</v>
      </c>
      <c r="BO259" s="12" t="s">
        <v>2292</v>
      </c>
      <c r="BP259" s="12"/>
      <c r="BQ259" s="12"/>
      <c r="BR259" s="12"/>
      <c r="BS259" s="12"/>
      <c r="BT259" s="12"/>
      <c r="BU259" s="12"/>
      <c r="BV259" s="12"/>
      <c r="BW259" s="12" t="s">
        <v>6041</v>
      </c>
      <c r="BX259" s="12"/>
      <c r="BY259" s="13" t="s">
        <v>313</v>
      </c>
      <c r="BZ259" s="13" t="s">
        <v>312</v>
      </c>
      <c r="CA259" s="13"/>
      <c r="CB259" s="13"/>
      <c r="CC259" s="13"/>
      <c r="CD259" s="13"/>
      <c r="CE259" s="13"/>
      <c r="CF259" s="13"/>
    </row>
    <row r="260" spans="1:84" ht="18.600000000000001" customHeight="1" x14ac:dyDescent="0.25">
      <c r="A260" s="60" t="s">
        <v>94</v>
      </c>
      <c r="B260" s="2" t="s">
        <v>335</v>
      </c>
      <c r="C260" s="3" t="s">
        <v>2719</v>
      </c>
      <c r="D260" s="12" t="s">
        <v>1105</v>
      </c>
      <c r="E260" s="12" t="s">
        <v>1104</v>
      </c>
      <c r="F260" s="12" t="s">
        <v>4185</v>
      </c>
      <c r="G260" s="25">
        <v>0</v>
      </c>
      <c r="H260" s="25">
        <v>0</v>
      </c>
      <c r="I260" s="25">
        <v>0</v>
      </c>
      <c r="J260" s="25">
        <v>0</v>
      </c>
      <c r="K260" s="25">
        <v>0</v>
      </c>
      <c r="L260" s="25">
        <v>0</v>
      </c>
      <c r="M260" s="25">
        <v>0</v>
      </c>
      <c r="N260" s="31">
        <v>0</v>
      </c>
      <c r="O260" s="25">
        <v>0</v>
      </c>
      <c r="P260" s="25">
        <v>0</v>
      </c>
      <c r="Q260" s="25">
        <v>0</v>
      </c>
      <c r="R260" s="25">
        <v>0</v>
      </c>
      <c r="S260" s="25">
        <v>0</v>
      </c>
      <c r="T260" s="25">
        <v>0</v>
      </c>
      <c r="U260" s="61">
        <v>0</v>
      </c>
      <c r="V260" s="59"/>
      <c r="W260" s="12" t="s">
        <v>3926</v>
      </c>
      <c r="X260" s="12" t="s">
        <v>3926</v>
      </c>
      <c r="Y260" s="12" t="s">
        <v>3926</v>
      </c>
      <c r="Z260" s="12" t="s">
        <v>3926</v>
      </c>
      <c r="AA260" s="12" t="s">
        <v>3926</v>
      </c>
      <c r="AB260" s="25" t="s">
        <v>3927</v>
      </c>
      <c r="AC260" s="25">
        <v>0</v>
      </c>
      <c r="AD260" s="25">
        <v>0</v>
      </c>
      <c r="AE260" s="25">
        <v>0</v>
      </c>
      <c r="AF260" s="25">
        <v>0</v>
      </c>
      <c r="AG260" s="25">
        <v>0</v>
      </c>
      <c r="AH260" s="25">
        <v>0</v>
      </c>
      <c r="AI260" s="12">
        <v>0</v>
      </c>
      <c r="AJ260" s="25">
        <v>5694</v>
      </c>
      <c r="AK260" s="25">
        <v>520</v>
      </c>
      <c r="AL260" s="33">
        <v>0.10050000000000001</v>
      </c>
      <c r="AM260" s="3" t="s">
        <v>2719</v>
      </c>
      <c r="AN260" s="12" t="s">
        <v>1104</v>
      </c>
      <c r="AO260" s="12" t="s">
        <v>1104</v>
      </c>
      <c r="AP260" s="12" t="str">
        <f>"125765950927218"</f>
        <v>125765950927218</v>
      </c>
      <c r="AQ260" s="12" t="s">
        <v>1105</v>
      </c>
      <c r="AR260" s="12" t="s">
        <v>5371</v>
      </c>
      <c r="AS260" s="12" t="s">
        <v>2720</v>
      </c>
      <c r="AT260" s="12"/>
      <c r="AU260" s="12" t="s">
        <v>324</v>
      </c>
      <c r="AV260" s="12" t="s">
        <v>5903</v>
      </c>
      <c r="AW260" s="12"/>
      <c r="AX260" s="12">
        <v>1892</v>
      </c>
      <c r="AY260" s="12">
        <v>17</v>
      </c>
      <c r="AZ260" s="12">
        <v>1892</v>
      </c>
      <c r="BA260" s="12" t="s">
        <v>1106</v>
      </c>
      <c r="BB260" s="12" t="s">
        <v>6849</v>
      </c>
      <c r="BC260" s="12" t="s">
        <v>6850</v>
      </c>
      <c r="BD260" s="12"/>
      <c r="BE260" s="12" t="s">
        <v>2291</v>
      </c>
      <c r="BF260" s="12"/>
      <c r="BG260" s="12"/>
      <c r="BH260" s="12"/>
      <c r="BI260" s="12" t="s">
        <v>3222</v>
      </c>
      <c r="BJ260" s="12"/>
      <c r="BK260" s="12" t="s">
        <v>6448</v>
      </c>
      <c r="BL260" s="12" t="s">
        <v>2292</v>
      </c>
      <c r="BM260" s="12" t="s">
        <v>2292</v>
      </c>
      <c r="BN260" s="12" t="s">
        <v>2292</v>
      </c>
      <c r="BO260" s="12" t="s">
        <v>2292</v>
      </c>
      <c r="BP260" s="12"/>
      <c r="BQ260" s="12"/>
      <c r="BR260" s="12"/>
      <c r="BS260" s="12"/>
      <c r="BT260" s="12" t="s">
        <v>1102</v>
      </c>
      <c r="BU260" s="12" t="s">
        <v>326</v>
      </c>
      <c r="BV260" s="12"/>
      <c r="BW260" s="12" t="s">
        <v>3620</v>
      </c>
      <c r="BX260" s="12"/>
      <c r="BY260" s="18" t="s">
        <v>344</v>
      </c>
      <c r="BZ260" s="13" t="s">
        <v>6170</v>
      </c>
      <c r="CA260" s="13" t="s">
        <v>6170</v>
      </c>
      <c r="CB260" s="13" t="s">
        <v>6197</v>
      </c>
      <c r="CC260" s="13"/>
      <c r="CD260" s="13" t="s">
        <v>6198</v>
      </c>
      <c r="CE260" s="13"/>
      <c r="CF260" s="13"/>
    </row>
    <row r="261" spans="1:84" ht="18.600000000000001" customHeight="1" x14ac:dyDescent="0.25">
      <c r="A261" s="60" t="s">
        <v>94</v>
      </c>
      <c r="B261" s="2" t="s">
        <v>335</v>
      </c>
      <c r="C261" s="3" t="s">
        <v>2721</v>
      </c>
      <c r="D261" s="12" t="s">
        <v>3621</v>
      </c>
      <c r="E261" s="12" t="s">
        <v>1099</v>
      </c>
      <c r="F261" s="12" t="s">
        <v>4186</v>
      </c>
      <c r="G261" s="25">
        <v>23850</v>
      </c>
      <c r="H261" s="25">
        <v>13891</v>
      </c>
      <c r="I261" s="25">
        <v>509</v>
      </c>
      <c r="J261" s="25">
        <v>9103</v>
      </c>
      <c r="K261" s="25">
        <v>30825</v>
      </c>
      <c r="L261" s="25">
        <v>130587</v>
      </c>
      <c r="M261" s="25">
        <v>161412</v>
      </c>
      <c r="N261" s="31">
        <v>0.19</v>
      </c>
      <c r="O261" s="25">
        <v>13150</v>
      </c>
      <c r="P261" s="25">
        <v>5815</v>
      </c>
      <c r="Q261" s="25">
        <v>68</v>
      </c>
      <c r="R261" s="25">
        <v>75</v>
      </c>
      <c r="S261" s="25">
        <v>12</v>
      </c>
      <c r="T261" s="25">
        <v>129</v>
      </c>
      <c r="U261" s="61">
        <v>63</v>
      </c>
      <c r="V261" s="58">
        <v>1.5E-3</v>
      </c>
      <c r="W261" s="33">
        <v>1.8E-3</v>
      </c>
      <c r="X261" s="33">
        <v>8.0000000000000004E-4</v>
      </c>
      <c r="Y261" s="33">
        <v>5.8999999999999999E-3</v>
      </c>
      <c r="Z261" s="33">
        <v>1.1900000000000001E-2</v>
      </c>
      <c r="AA261" s="33">
        <v>1E-3</v>
      </c>
      <c r="AB261" s="25">
        <v>541</v>
      </c>
      <c r="AC261" s="25">
        <v>110</v>
      </c>
      <c r="AD261" s="25">
        <v>376</v>
      </c>
      <c r="AE261" s="25">
        <v>22</v>
      </c>
      <c r="AF261" s="25">
        <v>13</v>
      </c>
      <c r="AG261" s="25">
        <v>18</v>
      </c>
      <c r="AH261" s="25">
        <v>2</v>
      </c>
      <c r="AI261" s="12">
        <v>1.23</v>
      </c>
      <c r="AJ261" s="25">
        <v>35562</v>
      </c>
      <c r="AK261" s="25">
        <v>12379</v>
      </c>
      <c r="AL261" s="33">
        <v>0.53400000000000003</v>
      </c>
      <c r="AM261" s="3" t="s">
        <v>2721</v>
      </c>
      <c r="AN261" s="12" t="s">
        <v>1099</v>
      </c>
      <c r="AO261" s="12" t="s">
        <v>1099</v>
      </c>
      <c r="AP261" s="12" t="str">
        <f>"127460367301028"</f>
        <v>127460367301028</v>
      </c>
      <c r="AQ261" s="12" t="s">
        <v>3621</v>
      </c>
      <c r="AR261" s="12" t="s">
        <v>1100</v>
      </c>
      <c r="AS261" s="12" t="s">
        <v>3622</v>
      </c>
      <c r="AT261" s="12"/>
      <c r="AU261" s="12" t="s">
        <v>324</v>
      </c>
      <c r="AV261" s="12"/>
      <c r="AW261" s="12"/>
      <c r="AX261" s="12">
        <v>0</v>
      </c>
      <c r="AY261" s="12">
        <v>256</v>
      </c>
      <c r="AZ261" s="12">
        <v>0</v>
      </c>
      <c r="BA261" s="12" t="s">
        <v>1101</v>
      </c>
      <c r="BB261" s="12" t="s">
        <v>5904</v>
      </c>
      <c r="BC261" s="12" t="s">
        <v>6851</v>
      </c>
      <c r="BD261" s="12"/>
      <c r="BE261" s="12" t="s">
        <v>2291</v>
      </c>
      <c r="BF261" s="12"/>
      <c r="BG261" s="12"/>
      <c r="BH261" s="12"/>
      <c r="BI261" s="12" t="s">
        <v>2722</v>
      </c>
      <c r="BJ261" s="12"/>
      <c r="BK261" s="12" t="s">
        <v>6835</v>
      </c>
      <c r="BL261" s="12" t="s">
        <v>2292</v>
      </c>
      <c r="BM261" s="12" t="s">
        <v>2292</v>
      </c>
      <c r="BN261" s="12" t="s">
        <v>2292</v>
      </c>
      <c r="BO261" s="12" t="s">
        <v>2292</v>
      </c>
      <c r="BP261" s="12"/>
      <c r="BQ261" s="12"/>
      <c r="BR261" s="12"/>
      <c r="BS261" s="12"/>
      <c r="BT261" s="12" t="s">
        <v>1102</v>
      </c>
      <c r="BU261" s="12"/>
      <c r="BV261" s="12"/>
      <c r="BW261" s="12" t="s">
        <v>1103</v>
      </c>
      <c r="BX261" s="12"/>
      <c r="BY261" s="13" t="s">
        <v>313</v>
      </c>
      <c r="BZ261" s="13" t="s">
        <v>6170</v>
      </c>
      <c r="CA261" s="13" t="s">
        <v>6170</v>
      </c>
      <c r="CB261" s="13" t="s">
        <v>6201</v>
      </c>
      <c r="CC261" s="13"/>
      <c r="CD261" s="13" t="s">
        <v>6198</v>
      </c>
      <c r="CE261" s="13"/>
      <c r="CF261" s="13" t="s">
        <v>6178</v>
      </c>
    </row>
    <row r="262" spans="1:84" ht="18.600000000000001" customHeight="1" x14ac:dyDescent="0.25">
      <c r="A262" s="28" t="s">
        <v>117</v>
      </c>
      <c r="B262" s="14" t="s">
        <v>6233</v>
      </c>
      <c r="C262" s="3" t="s">
        <v>6234</v>
      </c>
      <c r="D262" s="12" t="s">
        <v>6232</v>
      </c>
      <c r="E262" s="12"/>
      <c r="F262" s="12" t="s">
        <v>7412</v>
      </c>
      <c r="G262" s="25">
        <v>50598</v>
      </c>
      <c r="H262" s="25">
        <v>40114</v>
      </c>
      <c r="I262" s="25">
        <v>1441</v>
      </c>
      <c r="J262" s="25">
        <v>7928</v>
      </c>
      <c r="K262" s="25">
        <v>1646</v>
      </c>
      <c r="L262" s="25">
        <v>1178</v>
      </c>
      <c r="M262" s="25">
        <v>2824</v>
      </c>
      <c r="N262" s="31">
        <v>0.57999999999999996</v>
      </c>
      <c r="O262" s="25">
        <v>0</v>
      </c>
      <c r="P262" s="25">
        <v>0</v>
      </c>
      <c r="Q262" s="25">
        <v>842</v>
      </c>
      <c r="R262" s="25">
        <v>45</v>
      </c>
      <c r="S262" s="25">
        <v>55</v>
      </c>
      <c r="T262" s="25">
        <v>119</v>
      </c>
      <c r="U262" s="61">
        <v>53</v>
      </c>
      <c r="V262" s="58">
        <v>1.89E-2</v>
      </c>
      <c r="W262" s="33">
        <v>0</v>
      </c>
      <c r="X262" s="12" t="s">
        <v>3926</v>
      </c>
      <c r="Y262" s="33">
        <v>0</v>
      </c>
      <c r="Z262" s="33">
        <v>3.09E-2</v>
      </c>
      <c r="AA262" s="12" t="s">
        <v>3926</v>
      </c>
      <c r="AB262" s="25">
        <v>210</v>
      </c>
      <c r="AC262" s="25">
        <v>200</v>
      </c>
      <c r="AD262" s="25">
        <v>0</v>
      </c>
      <c r="AE262" s="25">
        <v>9</v>
      </c>
      <c r="AF262" s="25">
        <v>1</v>
      </c>
      <c r="AG262" s="25">
        <v>0</v>
      </c>
      <c r="AH262" s="25">
        <v>0</v>
      </c>
      <c r="AI262" s="12">
        <v>0.48</v>
      </c>
      <c r="AJ262" s="25">
        <v>12687</v>
      </c>
      <c r="AK262" s="25">
        <v>0</v>
      </c>
      <c r="AL262" s="31">
        <v>0</v>
      </c>
      <c r="AM262" s="3" t="s">
        <v>6234</v>
      </c>
      <c r="AN262" s="12" t="s">
        <v>7324</v>
      </c>
      <c r="AO262" s="12"/>
      <c r="AP262" s="12" t="str">
        <f>"1097909980337498"</f>
        <v>1097909980337498</v>
      </c>
      <c r="AQ262" s="12" t="s">
        <v>6232</v>
      </c>
      <c r="AR262" s="12"/>
      <c r="AS262" s="12"/>
      <c r="AT262" s="12"/>
      <c r="AU262" s="12" t="s">
        <v>324</v>
      </c>
      <c r="AV262" s="12"/>
      <c r="AW262" s="12"/>
      <c r="AX262" s="12">
        <v>0</v>
      </c>
      <c r="AY262" s="12">
        <v>38</v>
      </c>
      <c r="AZ262" s="12">
        <v>0</v>
      </c>
      <c r="BA262" s="12" t="s">
        <v>7325</v>
      </c>
      <c r="BB262" s="12"/>
      <c r="BC262" s="12" t="s">
        <v>7326</v>
      </c>
      <c r="BD262" s="12"/>
      <c r="BE262" s="12" t="s">
        <v>2291</v>
      </c>
      <c r="BF262" s="12"/>
      <c r="BG262" s="12"/>
      <c r="BH262" s="12"/>
      <c r="BI262" s="12"/>
      <c r="BJ262" s="12"/>
      <c r="BK262" s="12"/>
      <c r="BL262" s="12" t="s">
        <v>2292</v>
      </c>
      <c r="BM262" s="12" t="s">
        <v>2292</v>
      </c>
      <c r="BN262" s="12" t="s">
        <v>2292</v>
      </c>
      <c r="BO262" s="12" t="s">
        <v>2292</v>
      </c>
      <c r="BP262" s="12"/>
      <c r="BQ262" s="12"/>
      <c r="BR262" s="12"/>
      <c r="BS262" s="12"/>
      <c r="BT262" s="12"/>
      <c r="BU262" s="12"/>
      <c r="BV262" s="12"/>
      <c r="BW262" s="12"/>
      <c r="BX262" s="12"/>
      <c r="BY262" s="2"/>
      <c r="BZ262" s="13" t="s">
        <v>6170</v>
      </c>
      <c r="CA262" s="13" t="s">
        <v>6170</v>
      </c>
      <c r="CB262" s="13" t="s">
        <v>312</v>
      </c>
      <c r="CC262" s="13"/>
      <c r="CD262" s="13" t="s">
        <v>6198</v>
      </c>
      <c r="CE262" s="13"/>
      <c r="CF262" s="13"/>
    </row>
    <row r="263" spans="1:84" ht="18.600000000000001" customHeight="1" x14ac:dyDescent="0.25">
      <c r="A263" s="60" t="s">
        <v>117</v>
      </c>
      <c r="B263" s="2" t="s">
        <v>314</v>
      </c>
      <c r="C263" s="3" t="s">
        <v>2801</v>
      </c>
      <c r="D263" s="12" t="s">
        <v>1113</v>
      </c>
      <c r="E263" s="12" t="s">
        <v>1112</v>
      </c>
      <c r="F263" s="12" t="s">
        <v>4231</v>
      </c>
      <c r="G263" s="25">
        <v>2089974</v>
      </c>
      <c r="H263" s="25">
        <v>1635142</v>
      </c>
      <c r="I263" s="25">
        <v>47274</v>
      </c>
      <c r="J263" s="25">
        <v>330752</v>
      </c>
      <c r="K263" s="25">
        <v>540733</v>
      </c>
      <c r="L263" s="25">
        <v>584251</v>
      </c>
      <c r="M263" s="25">
        <v>1124984</v>
      </c>
      <c r="N263" s="31">
        <v>0.48</v>
      </c>
      <c r="O263" s="25">
        <v>4232</v>
      </c>
      <c r="P263" s="25">
        <v>520881</v>
      </c>
      <c r="Q263" s="25">
        <v>55811</v>
      </c>
      <c r="R263" s="25">
        <v>4736</v>
      </c>
      <c r="S263" s="25">
        <v>5571</v>
      </c>
      <c r="T263" s="25">
        <v>5927</v>
      </c>
      <c r="U263" s="61">
        <v>4605</v>
      </c>
      <c r="V263" s="58">
        <v>2.5999999999999999E-3</v>
      </c>
      <c r="W263" s="33">
        <v>2.8E-3</v>
      </c>
      <c r="X263" s="12" t="s">
        <v>3926</v>
      </c>
      <c r="Y263" s="33">
        <v>1.1999999999999999E-3</v>
      </c>
      <c r="Z263" s="33">
        <v>7.3000000000000001E-3</v>
      </c>
      <c r="AA263" s="33">
        <v>1E-3</v>
      </c>
      <c r="AB263" s="25">
        <v>628</v>
      </c>
      <c r="AC263" s="25">
        <v>568</v>
      </c>
      <c r="AD263" s="25">
        <v>0</v>
      </c>
      <c r="AE263" s="25">
        <v>36</v>
      </c>
      <c r="AF263" s="25">
        <v>19</v>
      </c>
      <c r="AG263" s="25">
        <v>1</v>
      </c>
      <c r="AH263" s="25">
        <v>4</v>
      </c>
      <c r="AI263" s="12">
        <v>1.43</v>
      </c>
      <c r="AJ263" s="25">
        <v>1502756</v>
      </c>
      <c r="AK263" s="25">
        <v>664787</v>
      </c>
      <c r="AL263" s="33">
        <v>0.79330000000000001</v>
      </c>
      <c r="AM263" s="3" t="s">
        <v>2801</v>
      </c>
      <c r="AN263" s="12" t="s">
        <v>1112</v>
      </c>
      <c r="AO263" s="12" t="s">
        <v>1112</v>
      </c>
      <c r="AP263" s="12" t="str">
        <f>"813476528700085"</f>
        <v>813476528700085</v>
      </c>
      <c r="AQ263" s="12" t="s">
        <v>1113</v>
      </c>
      <c r="AR263" s="12" t="s">
        <v>1114</v>
      </c>
      <c r="AS263" s="12" t="s">
        <v>1115</v>
      </c>
      <c r="AT263" s="12"/>
      <c r="AU263" s="12" t="s">
        <v>324</v>
      </c>
      <c r="AV263" s="12"/>
      <c r="AW263" s="12"/>
      <c r="AX263" s="12">
        <v>0</v>
      </c>
      <c r="AY263" s="12">
        <v>14856</v>
      </c>
      <c r="AZ263" s="12">
        <v>0</v>
      </c>
      <c r="BA263" s="12" t="s">
        <v>1116</v>
      </c>
      <c r="BB263" s="12" t="s">
        <v>5937</v>
      </c>
      <c r="BC263" s="12" t="s">
        <v>6965</v>
      </c>
      <c r="BD263" s="12"/>
      <c r="BE263" s="12" t="s">
        <v>2291</v>
      </c>
      <c r="BF263" s="12"/>
      <c r="BG263" s="12"/>
      <c r="BH263" s="12"/>
      <c r="BI263" s="12"/>
      <c r="BJ263" s="12"/>
      <c r="BK263" s="12" t="s">
        <v>6966</v>
      </c>
      <c r="BL263" s="12" t="s">
        <v>2292</v>
      </c>
      <c r="BM263" s="12" t="s">
        <v>2292</v>
      </c>
      <c r="BN263" s="12" t="s">
        <v>2292</v>
      </c>
      <c r="BO263" s="12" t="s">
        <v>2291</v>
      </c>
      <c r="BP263" s="12"/>
      <c r="BQ263" s="12"/>
      <c r="BR263" s="12"/>
      <c r="BS263" s="12"/>
      <c r="BT263" s="12"/>
      <c r="BU263" s="12"/>
      <c r="BV263" s="12"/>
      <c r="BW263" s="12" t="s">
        <v>1117</v>
      </c>
      <c r="BX263" s="12"/>
      <c r="BY263" s="13" t="s">
        <v>313</v>
      </c>
      <c r="BZ263" s="13" t="s">
        <v>6172</v>
      </c>
      <c r="CA263" s="13"/>
      <c r="CB263" s="13"/>
      <c r="CC263" s="13"/>
      <c r="CD263" s="13"/>
      <c r="CE263" s="13"/>
      <c r="CF263" s="13"/>
    </row>
    <row r="264" spans="1:84" ht="18.600000000000001" customHeight="1" x14ac:dyDescent="0.25">
      <c r="A264" s="60" t="s">
        <v>117</v>
      </c>
      <c r="B264" s="2" t="s">
        <v>3331</v>
      </c>
      <c r="C264" s="3" t="s">
        <v>2335</v>
      </c>
      <c r="D264" s="12" t="s">
        <v>1119</v>
      </c>
      <c r="E264" s="12" t="s">
        <v>1118</v>
      </c>
      <c r="F264" s="12" t="s">
        <v>3959</v>
      </c>
      <c r="G264" s="25">
        <v>0</v>
      </c>
      <c r="H264" s="25">
        <v>0</v>
      </c>
      <c r="I264" s="25">
        <v>0</v>
      </c>
      <c r="J264" s="25">
        <v>0</v>
      </c>
      <c r="K264" s="25">
        <v>0</v>
      </c>
      <c r="L264" s="25">
        <v>0</v>
      </c>
      <c r="M264" s="25">
        <v>0</v>
      </c>
      <c r="N264" s="31">
        <v>0</v>
      </c>
      <c r="O264" s="25">
        <v>0</v>
      </c>
      <c r="P264" s="25">
        <v>0</v>
      </c>
      <c r="Q264" s="25">
        <v>0</v>
      </c>
      <c r="R264" s="25">
        <v>0</v>
      </c>
      <c r="S264" s="25">
        <v>0</v>
      </c>
      <c r="T264" s="25">
        <v>0</v>
      </c>
      <c r="U264" s="61">
        <v>0</v>
      </c>
      <c r="V264" s="59"/>
      <c r="W264" s="12" t="s">
        <v>3926</v>
      </c>
      <c r="X264" s="12" t="s">
        <v>3926</v>
      </c>
      <c r="Y264" s="12" t="s">
        <v>3926</v>
      </c>
      <c r="Z264" s="12" t="s">
        <v>3926</v>
      </c>
      <c r="AA264" s="12" t="s">
        <v>3926</v>
      </c>
      <c r="AB264" s="25" t="s">
        <v>3927</v>
      </c>
      <c r="AC264" s="25">
        <v>0</v>
      </c>
      <c r="AD264" s="25">
        <v>0</v>
      </c>
      <c r="AE264" s="25">
        <v>0</v>
      </c>
      <c r="AF264" s="25">
        <v>0</v>
      </c>
      <c r="AG264" s="25">
        <v>0</v>
      </c>
      <c r="AH264" s="25">
        <v>0</v>
      </c>
      <c r="AI264" s="12">
        <v>0</v>
      </c>
      <c r="AJ264" s="25">
        <v>2025521</v>
      </c>
      <c r="AK264" s="25">
        <v>7554</v>
      </c>
      <c r="AL264" s="33">
        <v>3.7000000000000002E-3</v>
      </c>
      <c r="AM264" s="3" t="s">
        <v>2335</v>
      </c>
      <c r="AN264" s="12" t="s">
        <v>1118</v>
      </c>
      <c r="AO264" s="12" t="s">
        <v>1118</v>
      </c>
      <c r="AP264" s="12" t="str">
        <f>"9953503420"</f>
        <v>9953503420</v>
      </c>
      <c r="AQ264" s="12" t="s">
        <v>1119</v>
      </c>
      <c r="AR264" s="12" t="s">
        <v>2336</v>
      </c>
      <c r="AS264" s="12" t="s">
        <v>1120</v>
      </c>
      <c r="AT264" s="12"/>
      <c r="AU264" s="12" t="s">
        <v>309</v>
      </c>
      <c r="AV264" s="12"/>
      <c r="AW264" s="12"/>
      <c r="AX264" s="12">
        <v>0</v>
      </c>
      <c r="AY264" s="12">
        <v>1058</v>
      </c>
      <c r="AZ264" s="12">
        <v>0</v>
      </c>
      <c r="BA264" s="12" t="s">
        <v>1121</v>
      </c>
      <c r="BB264" s="12"/>
      <c r="BC264" s="12" t="s">
        <v>6317</v>
      </c>
      <c r="BD264" s="12" t="s">
        <v>1122</v>
      </c>
      <c r="BE264" s="12" t="s">
        <v>2291</v>
      </c>
      <c r="BF264" s="12"/>
      <c r="BG264" s="12"/>
      <c r="BH264" s="12"/>
      <c r="BI264" s="12"/>
      <c r="BJ264" s="12"/>
      <c r="BK264" s="12"/>
      <c r="BL264" s="12" t="s">
        <v>2292</v>
      </c>
      <c r="BM264" s="12" t="s">
        <v>2292</v>
      </c>
      <c r="BN264" s="12" t="s">
        <v>2292</v>
      </c>
      <c r="BO264" s="12" t="s">
        <v>2291</v>
      </c>
      <c r="BP264" s="12"/>
      <c r="BQ264" s="12"/>
      <c r="BR264" s="12"/>
      <c r="BS264" s="12"/>
      <c r="BT264" s="12"/>
      <c r="BU264" s="12"/>
      <c r="BV264" s="12"/>
      <c r="BW264" s="12"/>
      <c r="BX264" s="12"/>
      <c r="BY264" s="18" t="s">
        <v>344</v>
      </c>
      <c r="BZ264" s="18" t="s">
        <v>312</v>
      </c>
      <c r="CA264" s="18"/>
      <c r="CB264" s="18"/>
      <c r="CC264" s="18"/>
      <c r="CD264" s="18"/>
      <c r="CE264" s="18"/>
      <c r="CF264" s="18"/>
    </row>
    <row r="265" spans="1:84" ht="18.600000000000001" customHeight="1" x14ac:dyDescent="0.25">
      <c r="A265" s="60" t="s">
        <v>117</v>
      </c>
      <c r="B265" s="2" t="s">
        <v>335</v>
      </c>
      <c r="C265" s="3" t="s">
        <v>3381</v>
      </c>
      <c r="D265" s="12" t="s">
        <v>3434</v>
      </c>
      <c r="E265" s="12" t="s">
        <v>3433</v>
      </c>
      <c r="F265" s="12" t="s">
        <v>4222</v>
      </c>
      <c r="G265" s="25">
        <v>750478</v>
      </c>
      <c r="H265" s="25">
        <v>616929</v>
      </c>
      <c r="I265" s="25">
        <v>5548</v>
      </c>
      <c r="J265" s="25">
        <v>102878</v>
      </c>
      <c r="K265" s="25">
        <v>8402</v>
      </c>
      <c r="L265" s="25">
        <v>37754</v>
      </c>
      <c r="M265" s="25">
        <v>46156</v>
      </c>
      <c r="N265" s="31">
        <v>0.18</v>
      </c>
      <c r="O265" s="25">
        <v>10373</v>
      </c>
      <c r="P265" s="25">
        <v>0</v>
      </c>
      <c r="Q265" s="25">
        <v>21598</v>
      </c>
      <c r="R265" s="25">
        <v>1027</v>
      </c>
      <c r="S265" s="25">
        <v>468</v>
      </c>
      <c r="T265" s="25">
        <v>1217</v>
      </c>
      <c r="U265" s="61">
        <v>163</v>
      </c>
      <c r="V265" s="58">
        <v>3.0000000000000001E-3</v>
      </c>
      <c r="W265" s="33">
        <v>3.5000000000000001E-3</v>
      </c>
      <c r="X265" s="33">
        <v>1.2999999999999999E-3</v>
      </c>
      <c r="Y265" s="33">
        <v>2.0999999999999999E-3</v>
      </c>
      <c r="Z265" s="33">
        <v>8.3000000000000001E-3</v>
      </c>
      <c r="AA265" s="33">
        <v>6.0000000000000001E-3</v>
      </c>
      <c r="AB265" s="25">
        <v>854</v>
      </c>
      <c r="AC265" s="25">
        <v>791</v>
      </c>
      <c r="AD265" s="25">
        <v>12</v>
      </c>
      <c r="AE265" s="25">
        <v>45</v>
      </c>
      <c r="AF265" s="25">
        <v>1</v>
      </c>
      <c r="AG265" s="25">
        <v>4</v>
      </c>
      <c r="AH265" s="25">
        <v>1</v>
      </c>
      <c r="AI265" s="12">
        <v>1.95</v>
      </c>
      <c r="AJ265" s="25">
        <v>358571</v>
      </c>
      <c r="AK265" s="25">
        <v>203288</v>
      </c>
      <c r="AL265" s="33">
        <v>1.3090999999999999</v>
      </c>
      <c r="AM265" s="3" t="s">
        <v>3381</v>
      </c>
      <c r="AN265" s="12" t="s">
        <v>3433</v>
      </c>
      <c r="AO265" s="12" t="s">
        <v>3433</v>
      </c>
      <c r="AP265" s="12" t="str">
        <f>"513368565530110"</f>
        <v>513368565530110</v>
      </c>
      <c r="AQ265" s="12" t="s">
        <v>3434</v>
      </c>
      <c r="AR265" s="12" t="s">
        <v>1123</v>
      </c>
      <c r="AS265" s="12" t="s">
        <v>3435</v>
      </c>
      <c r="AT265" s="12"/>
      <c r="AU265" s="12" t="s">
        <v>324</v>
      </c>
      <c r="AV265" s="12"/>
      <c r="AW265" s="12"/>
      <c r="AX265" s="12">
        <v>0</v>
      </c>
      <c r="AY265" s="12">
        <v>5616</v>
      </c>
      <c r="AZ265" s="12">
        <v>0</v>
      </c>
      <c r="BA265" s="12" t="s">
        <v>3436</v>
      </c>
      <c r="BB265" s="12" t="s">
        <v>5928</v>
      </c>
      <c r="BC265" s="12" t="s">
        <v>6947</v>
      </c>
      <c r="BD265" s="12"/>
      <c r="BE265" s="12" t="s">
        <v>2291</v>
      </c>
      <c r="BF265" s="12"/>
      <c r="BG265" s="12"/>
      <c r="BH265" s="12"/>
      <c r="BI265" s="12"/>
      <c r="BJ265" s="12"/>
      <c r="BK265" s="12"/>
      <c r="BL265" s="12" t="s">
        <v>2292</v>
      </c>
      <c r="BM265" s="12" t="s">
        <v>2292</v>
      </c>
      <c r="BN265" s="12" t="s">
        <v>2292</v>
      </c>
      <c r="BO265" s="12" t="s">
        <v>2291</v>
      </c>
      <c r="BP265" s="12"/>
      <c r="BQ265" s="12"/>
      <c r="BR265" s="12"/>
      <c r="BS265" s="12"/>
      <c r="BT265" s="12"/>
      <c r="BU265" s="12"/>
      <c r="BV265" s="12"/>
      <c r="BW265" s="12" t="s">
        <v>3639</v>
      </c>
      <c r="BX265" s="12"/>
      <c r="BY265" s="13" t="s">
        <v>313</v>
      </c>
      <c r="BZ265" s="13" t="s">
        <v>312</v>
      </c>
      <c r="CA265" s="13"/>
      <c r="CB265" s="13"/>
      <c r="CC265" s="13"/>
      <c r="CD265" s="13"/>
      <c r="CE265" s="13"/>
      <c r="CF265" s="13"/>
    </row>
    <row r="266" spans="1:84" ht="18.600000000000001" customHeight="1" x14ac:dyDescent="0.25">
      <c r="A266" s="60" t="s">
        <v>95</v>
      </c>
      <c r="B266" s="2" t="s">
        <v>3186</v>
      </c>
      <c r="C266" s="4" t="s">
        <v>3858</v>
      </c>
      <c r="D266" s="12" t="s">
        <v>3183</v>
      </c>
      <c r="E266" s="12" t="s">
        <v>3964</v>
      </c>
      <c r="F266" s="12" t="s">
        <v>3965</v>
      </c>
      <c r="G266" s="25">
        <v>0</v>
      </c>
      <c r="H266" s="25">
        <v>0</v>
      </c>
      <c r="I266" s="25">
        <v>0</v>
      </c>
      <c r="J266" s="25">
        <v>0</v>
      </c>
      <c r="K266" s="25">
        <v>0</v>
      </c>
      <c r="L266" s="25">
        <v>0</v>
      </c>
      <c r="M266" s="25">
        <v>0</v>
      </c>
      <c r="N266" s="31">
        <v>0</v>
      </c>
      <c r="O266" s="25">
        <v>0</v>
      </c>
      <c r="P266" s="25">
        <v>0</v>
      </c>
      <c r="Q266" s="25">
        <v>0</v>
      </c>
      <c r="R266" s="25">
        <v>0</v>
      </c>
      <c r="S266" s="25">
        <v>0</v>
      </c>
      <c r="T266" s="25">
        <v>0</v>
      </c>
      <c r="U266" s="61">
        <v>0</v>
      </c>
      <c r="V266" s="59"/>
      <c r="W266" s="12" t="s">
        <v>3926</v>
      </c>
      <c r="X266" s="12" t="s">
        <v>3926</v>
      </c>
      <c r="Y266" s="12" t="s">
        <v>3926</v>
      </c>
      <c r="Z266" s="12" t="s">
        <v>3926</v>
      </c>
      <c r="AA266" s="12" t="s">
        <v>3926</v>
      </c>
      <c r="AB266" s="25" t="s">
        <v>3927</v>
      </c>
      <c r="AC266" s="25">
        <v>0</v>
      </c>
      <c r="AD266" s="25">
        <v>0</v>
      </c>
      <c r="AE266" s="25">
        <v>0</v>
      </c>
      <c r="AF266" s="25">
        <v>0</v>
      </c>
      <c r="AG266" s="25">
        <v>0</v>
      </c>
      <c r="AH266" s="25">
        <v>0</v>
      </c>
      <c r="AI266" s="12">
        <v>0</v>
      </c>
      <c r="AJ266" s="25">
        <v>1833</v>
      </c>
      <c r="AK266" s="25">
        <v>940</v>
      </c>
      <c r="AL266" s="33">
        <v>1.0526</v>
      </c>
      <c r="AM266" s="4" t="s">
        <v>3858</v>
      </c>
      <c r="AN266" s="12" t="s">
        <v>3964</v>
      </c>
      <c r="AO266" s="12" t="s">
        <v>3964</v>
      </c>
      <c r="AP266" s="12" t="str">
        <f>"888582717905505"</f>
        <v>888582717905505</v>
      </c>
      <c r="AQ266" s="12" t="s">
        <v>3183</v>
      </c>
      <c r="AR266" s="12"/>
      <c r="AS266" s="12" t="s">
        <v>4507</v>
      </c>
      <c r="AT266" s="12"/>
      <c r="AU266" s="12" t="s">
        <v>309</v>
      </c>
      <c r="AV266" s="12"/>
      <c r="AW266" s="12"/>
      <c r="AX266" s="12">
        <v>0</v>
      </c>
      <c r="AY266" s="12">
        <v>57</v>
      </c>
      <c r="AZ266" s="12">
        <v>0</v>
      </c>
      <c r="BA266" s="12" t="s">
        <v>4508</v>
      </c>
      <c r="BB266" s="12"/>
      <c r="BC266" s="12" t="s">
        <v>6334</v>
      </c>
      <c r="BD266" s="12"/>
      <c r="BE266" s="12" t="s">
        <v>2291</v>
      </c>
      <c r="BF266" s="12"/>
      <c r="BG266" s="12"/>
      <c r="BH266" s="12"/>
      <c r="BI266" s="12"/>
      <c r="BJ266" s="12"/>
      <c r="BK266" s="12"/>
      <c r="BL266" s="12" t="s">
        <v>2292</v>
      </c>
      <c r="BM266" s="12" t="s">
        <v>2292</v>
      </c>
      <c r="BN266" s="12" t="s">
        <v>2292</v>
      </c>
      <c r="BO266" s="12" t="s">
        <v>2292</v>
      </c>
      <c r="BP266" s="12"/>
      <c r="BQ266" s="12"/>
      <c r="BR266" s="12"/>
      <c r="BS266" s="12"/>
      <c r="BT266" s="12"/>
      <c r="BU266" s="12"/>
      <c r="BV266" s="12"/>
      <c r="BW266" s="12"/>
      <c r="BX266" s="12"/>
      <c r="BY266" s="2" t="s">
        <v>344</v>
      </c>
      <c r="BZ266" s="13" t="s">
        <v>6170</v>
      </c>
      <c r="CA266" s="13" t="s">
        <v>6170</v>
      </c>
      <c r="CB266" s="13" t="s">
        <v>312</v>
      </c>
      <c r="CC266" s="13"/>
      <c r="CD266" s="13" t="s">
        <v>6198</v>
      </c>
      <c r="CE266" s="13"/>
      <c r="CF266" s="13"/>
    </row>
    <row r="267" spans="1:84" ht="18.600000000000001" customHeight="1" x14ac:dyDescent="0.25">
      <c r="A267" s="60" t="s">
        <v>95</v>
      </c>
      <c r="B267" s="2" t="s">
        <v>315</v>
      </c>
      <c r="C267" s="4" t="s">
        <v>3883</v>
      </c>
      <c r="D267" s="12" t="s">
        <v>3514</v>
      </c>
      <c r="E267" s="12" t="s">
        <v>3581</v>
      </c>
      <c r="F267" s="12" t="s">
        <v>4100</v>
      </c>
      <c r="G267" s="25">
        <v>5567</v>
      </c>
      <c r="H267" s="25">
        <v>4658</v>
      </c>
      <c r="I267" s="25">
        <v>357</v>
      </c>
      <c r="J267" s="25">
        <v>176</v>
      </c>
      <c r="K267" s="25">
        <v>0</v>
      </c>
      <c r="L267" s="25">
        <v>0</v>
      </c>
      <c r="M267" s="25">
        <v>0</v>
      </c>
      <c r="N267" s="31">
        <v>0</v>
      </c>
      <c r="O267" s="25">
        <v>0</v>
      </c>
      <c r="P267" s="25">
        <v>0</v>
      </c>
      <c r="Q267" s="25">
        <v>22</v>
      </c>
      <c r="R267" s="25">
        <v>18</v>
      </c>
      <c r="S267" s="25">
        <v>257</v>
      </c>
      <c r="T267" s="25">
        <v>14</v>
      </c>
      <c r="U267" s="61">
        <v>65</v>
      </c>
      <c r="V267" s="58">
        <v>1.5E-3</v>
      </c>
      <c r="W267" s="33">
        <v>6.9999999999999999E-4</v>
      </c>
      <c r="X267" s="33">
        <v>1.6000000000000001E-3</v>
      </c>
      <c r="Y267" s="33">
        <v>1.6999999999999999E-3</v>
      </c>
      <c r="Z267" s="12" t="s">
        <v>3926</v>
      </c>
      <c r="AA267" s="12" t="s">
        <v>3926</v>
      </c>
      <c r="AB267" s="25">
        <v>73</v>
      </c>
      <c r="AC267" s="25">
        <v>1</v>
      </c>
      <c r="AD267" s="25">
        <v>66</v>
      </c>
      <c r="AE267" s="25">
        <v>6</v>
      </c>
      <c r="AF267" s="25">
        <v>0</v>
      </c>
      <c r="AG267" s="25">
        <v>0</v>
      </c>
      <c r="AH267" s="25">
        <v>0</v>
      </c>
      <c r="AI267" s="12">
        <v>0.17</v>
      </c>
      <c r="AJ267" s="25">
        <v>56012</v>
      </c>
      <c r="AK267" s="25">
        <v>15262</v>
      </c>
      <c r="AL267" s="33">
        <v>0.3745</v>
      </c>
      <c r="AM267" s="4" t="s">
        <v>3883</v>
      </c>
      <c r="AN267" s="12" t="s">
        <v>3581</v>
      </c>
      <c r="AO267" s="12" t="s">
        <v>3581</v>
      </c>
      <c r="AP267" s="12" t="str">
        <f>"111817545816963"</f>
        <v>111817545816963</v>
      </c>
      <c r="AQ267" s="12" t="s">
        <v>3514</v>
      </c>
      <c r="AR267" s="12" t="s">
        <v>3582</v>
      </c>
      <c r="AS267" s="12" t="s">
        <v>4798</v>
      </c>
      <c r="AT267" s="12"/>
      <c r="AU267" s="12" t="s">
        <v>324</v>
      </c>
      <c r="AV267" s="12" t="s">
        <v>5731</v>
      </c>
      <c r="AW267" s="12"/>
      <c r="AX267" s="12">
        <v>357</v>
      </c>
      <c r="AY267" s="12">
        <v>115</v>
      </c>
      <c r="AZ267" s="12">
        <v>357</v>
      </c>
      <c r="BA267" s="12" t="s">
        <v>3583</v>
      </c>
      <c r="BB267" s="12" t="s">
        <v>6649</v>
      </c>
      <c r="BC267" s="12" t="s">
        <v>6650</v>
      </c>
      <c r="BD267" s="12"/>
      <c r="BE267" s="12" t="s">
        <v>2291</v>
      </c>
      <c r="BF267" s="12"/>
      <c r="BG267" s="12"/>
      <c r="BH267" s="12"/>
      <c r="BI267" s="12"/>
      <c r="BJ267" s="12" t="s">
        <v>3584</v>
      </c>
      <c r="BK267" s="12"/>
      <c r="BL267" s="12" t="s">
        <v>2292</v>
      </c>
      <c r="BM267" s="12" t="s">
        <v>2292</v>
      </c>
      <c r="BN267" s="12" t="s">
        <v>2292</v>
      </c>
      <c r="BO267" s="12" t="s">
        <v>2292</v>
      </c>
      <c r="BP267" s="12"/>
      <c r="BQ267" s="12"/>
      <c r="BR267" s="12"/>
      <c r="BS267" s="12"/>
      <c r="BT267" s="12"/>
      <c r="BU267" s="12" t="s">
        <v>326</v>
      </c>
      <c r="BV267" s="12"/>
      <c r="BW267" s="12" t="s">
        <v>4799</v>
      </c>
      <c r="BX267" s="12"/>
      <c r="BY267" s="13" t="s">
        <v>313</v>
      </c>
      <c r="BZ267" s="13" t="s">
        <v>6181</v>
      </c>
      <c r="CA267" s="13" t="s">
        <v>6170</v>
      </c>
      <c r="CB267" s="13" t="s">
        <v>6197</v>
      </c>
      <c r="CC267" s="13"/>
      <c r="CD267" s="13" t="s">
        <v>6198</v>
      </c>
      <c r="CE267" s="13"/>
      <c r="CF267" s="13"/>
    </row>
    <row r="268" spans="1:84" ht="18.600000000000001" customHeight="1" x14ac:dyDescent="0.25">
      <c r="A268" s="60" t="s">
        <v>95</v>
      </c>
      <c r="B268" s="2" t="s">
        <v>335</v>
      </c>
      <c r="C268" s="3" t="s">
        <v>2790</v>
      </c>
      <c r="D268" s="12" t="s">
        <v>1125</v>
      </c>
      <c r="E268" s="12" t="s">
        <v>1124</v>
      </c>
      <c r="F268" s="12" t="s">
        <v>4223</v>
      </c>
      <c r="G268" s="25">
        <v>4103</v>
      </c>
      <c r="H268" s="25">
        <v>3367</v>
      </c>
      <c r="I268" s="25">
        <v>65</v>
      </c>
      <c r="J268" s="25">
        <v>605</v>
      </c>
      <c r="K268" s="25">
        <v>0</v>
      </c>
      <c r="L268" s="25">
        <v>0</v>
      </c>
      <c r="M268" s="25">
        <v>0</v>
      </c>
      <c r="N268" s="31">
        <v>0</v>
      </c>
      <c r="O268" s="25">
        <v>0</v>
      </c>
      <c r="P268" s="25">
        <v>0</v>
      </c>
      <c r="Q268" s="25">
        <v>11</v>
      </c>
      <c r="R268" s="25">
        <v>17</v>
      </c>
      <c r="S268" s="25">
        <v>5</v>
      </c>
      <c r="T268" s="25">
        <v>30</v>
      </c>
      <c r="U268" s="61">
        <v>3</v>
      </c>
      <c r="V268" s="58">
        <v>1.1999999999999999E-3</v>
      </c>
      <c r="W268" s="33">
        <v>3.5999999999999999E-3</v>
      </c>
      <c r="X268" s="33">
        <v>1E-3</v>
      </c>
      <c r="Y268" s="33">
        <v>8.9999999999999998E-4</v>
      </c>
      <c r="Z268" s="12" t="s">
        <v>3926</v>
      </c>
      <c r="AA268" s="33">
        <v>1.1999999999999999E-3</v>
      </c>
      <c r="AB268" s="25">
        <v>446</v>
      </c>
      <c r="AC268" s="25">
        <v>19</v>
      </c>
      <c r="AD268" s="25">
        <v>405</v>
      </c>
      <c r="AE268" s="25">
        <v>20</v>
      </c>
      <c r="AF268" s="25">
        <v>0</v>
      </c>
      <c r="AG268" s="25">
        <v>0</v>
      </c>
      <c r="AH268" s="25">
        <v>2</v>
      </c>
      <c r="AI268" s="12">
        <v>1.02</v>
      </c>
      <c r="AJ268" s="25">
        <v>9592</v>
      </c>
      <c r="AK268" s="25">
        <v>3321</v>
      </c>
      <c r="AL268" s="33">
        <v>0.52959999999999996</v>
      </c>
      <c r="AM268" s="3" t="s">
        <v>2790</v>
      </c>
      <c r="AN268" s="12" t="s">
        <v>1124</v>
      </c>
      <c r="AO268" s="12" t="s">
        <v>1124</v>
      </c>
      <c r="AP268" s="12" t="str">
        <f>"576508189116608"</f>
        <v>576508189116608</v>
      </c>
      <c r="AQ268" s="12" t="s">
        <v>1125</v>
      </c>
      <c r="AR268" s="12" t="s">
        <v>1126</v>
      </c>
      <c r="AS268" s="12" t="s">
        <v>2791</v>
      </c>
      <c r="AT268" s="12"/>
      <c r="AU268" s="12" t="s">
        <v>324</v>
      </c>
      <c r="AV268" s="12" t="s">
        <v>5731</v>
      </c>
      <c r="AW268" s="12"/>
      <c r="AX268" s="12">
        <v>592</v>
      </c>
      <c r="AY268" s="12">
        <v>98</v>
      </c>
      <c r="AZ268" s="12">
        <v>592</v>
      </c>
      <c r="BA268" s="12" t="s">
        <v>1127</v>
      </c>
      <c r="BB268" s="12" t="s">
        <v>6948</v>
      </c>
      <c r="BC268" s="12" t="s">
        <v>6949</v>
      </c>
      <c r="BD268" s="12"/>
      <c r="BE268" s="12" t="s">
        <v>2291</v>
      </c>
      <c r="BF268" s="12"/>
      <c r="BG268" s="12"/>
      <c r="BH268" s="12"/>
      <c r="BI268" s="12"/>
      <c r="BJ268" s="12"/>
      <c r="BK268" s="12" t="s">
        <v>6950</v>
      </c>
      <c r="BL268" s="12" t="s">
        <v>2292</v>
      </c>
      <c r="BM268" s="12" t="s">
        <v>2292</v>
      </c>
      <c r="BN268" s="12" t="s">
        <v>2292</v>
      </c>
      <c r="BO268" s="12" t="s">
        <v>2292</v>
      </c>
      <c r="BP268" s="12"/>
      <c r="BQ268" s="12"/>
      <c r="BR268" s="12"/>
      <c r="BS268" s="12"/>
      <c r="BT268" s="12" t="s">
        <v>2792</v>
      </c>
      <c r="BU268" s="12" t="s">
        <v>326</v>
      </c>
      <c r="BV268" s="12"/>
      <c r="BW268" s="12" t="s">
        <v>3437</v>
      </c>
      <c r="BX268" s="12"/>
      <c r="BY268" s="13" t="s">
        <v>313</v>
      </c>
      <c r="BZ268" s="13" t="s">
        <v>6170</v>
      </c>
      <c r="CA268" s="13" t="s">
        <v>6170</v>
      </c>
      <c r="CB268" s="13" t="s">
        <v>6197</v>
      </c>
      <c r="CC268" s="13"/>
      <c r="CD268" s="13" t="s">
        <v>6198</v>
      </c>
      <c r="CE268" s="13"/>
      <c r="CF268" s="13"/>
    </row>
    <row r="269" spans="1:84" ht="18.600000000000001" customHeight="1" x14ac:dyDescent="0.25">
      <c r="A269" s="60" t="s">
        <v>96</v>
      </c>
      <c r="B269" s="2" t="s">
        <v>335</v>
      </c>
      <c r="C269" s="3" t="s">
        <v>2772</v>
      </c>
      <c r="D269" s="12" t="s">
        <v>3797</v>
      </c>
      <c r="E269" s="12" t="s">
        <v>1128</v>
      </c>
      <c r="F269" s="12" t="s">
        <v>4211</v>
      </c>
      <c r="G269" s="25">
        <v>0</v>
      </c>
      <c r="H269" s="25">
        <v>0</v>
      </c>
      <c r="I269" s="25">
        <v>0</v>
      </c>
      <c r="J269" s="25">
        <v>0</v>
      </c>
      <c r="K269" s="25">
        <v>0</v>
      </c>
      <c r="L269" s="25">
        <v>0</v>
      </c>
      <c r="M269" s="25">
        <v>0</v>
      </c>
      <c r="N269" s="31">
        <v>0</v>
      </c>
      <c r="O269" s="25">
        <v>0</v>
      </c>
      <c r="P269" s="25">
        <v>0</v>
      </c>
      <c r="Q269" s="25">
        <v>0</v>
      </c>
      <c r="R269" s="25">
        <v>0</v>
      </c>
      <c r="S269" s="25">
        <v>0</v>
      </c>
      <c r="T269" s="25">
        <v>0</v>
      </c>
      <c r="U269" s="61">
        <v>0</v>
      </c>
      <c r="V269" s="59"/>
      <c r="W269" s="12" t="s">
        <v>3926</v>
      </c>
      <c r="X269" s="12" t="s">
        <v>3926</v>
      </c>
      <c r="Y269" s="12" t="s">
        <v>3926</v>
      </c>
      <c r="Z269" s="12" t="s">
        <v>3926</v>
      </c>
      <c r="AA269" s="12" t="s">
        <v>3926</v>
      </c>
      <c r="AB269" s="25" t="s">
        <v>3927</v>
      </c>
      <c r="AC269" s="25">
        <v>0</v>
      </c>
      <c r="AD269" s="25">
        <v>0</v>
      </c>
      <c r="AE269" s="25">
        <v>0</v>
      </c>
      <c r="AF269" s="25">
        <v>0</v>
      </c>
      <c r="AG269" s="25">
        <v>0</v>
      </c>
      <c r="AH269" s="25">
        <v>0</v>
      </c>
      <c r="AI269" s="12">
        <v>0</v>
      </c>
      <c r="AJ269" s="25">
        <v>443</v>
      </c>
      <c r="AK269" s="25">
        <v>26</v>
      </c>
      <c r="AL269" s="33">
        <v>6.2399999999999997E-2</v>
      </c>
      <c r="AM269" s="3" t="s">
        <v>2772</v>
      </c>
      <c r="AN269" s="12" t="s">
        <v>1128</v>
      </c>
      <c r="AO269" s="12" t="s">
        <v>1128</v>
      </c>
      <c r="AP269" s="12" t="str">
        <f>"254621574688092"</f>
        <v>254621574688092</v>
      </c>
      <c r="AQ269" s="12" t="s">
        <v>3797</v>
      </c>
      <c r="AR269" s="12" t="s">
        <v>1129</v>
      </c>
      <c r="AS269" s="12" t="s">
        <v>1130</v>
      </c>
      <c r="AT269" s="12"/>
      <c r="AU269" s="12" t="s">
        <v>324</v>
      </c>
      <c r="AV269" s="12"/>
      <c r="AW269" s="12"/>
      <c r="AX269" s="12">
        <v>0</v>
      </c>
      <c r="AY269" s="12">
        <v>0</v>
      </c>
      <c r="AZ269" s="12">
        <v>0</v>
      </c>
      <c r="BA269" s="12" t="s">
        <v>1131</v>
      </c>
      <c r="BB269" s="12"/>
      <c r="BC269" s="12" t="s">
        <v>6929</v>
      </c>
      <c r="BD269" s="12"/>
      <c r="BE269" s="12" t="s">
        <v>2291</v>
      </c>
      <c r="BF269" s="12"/>
      <c r="BG269" s="12"/>
      <c r="BH269" s="12"/>
      <c r="BI269" s="12"/>
      <c r="BJ269" s="12"/>
      <c r="BK269" s="12"/>
      <c r="BL269" s="12" t="s">
        <v>2292</v>
      </c>
      <c r="BM269" s="12" t="s">
        <v>2292</v>
      </c>
      <c r="BN269" s="12" t="s">
        <v>2292</v>
      </c>
      <c r="BO269" s="12" t="s">
        <v>2292</v>
      </c>
      <c r="BP269" s="12"/>
      <c r="BQ269" s="12"/>
      <c r="BR269" s="12"/>
      <c r="BS269" s="12"/>
      <c r="BT269" s="12"/>
      <c r="BU269" s="12"/>
      <c r="BV269" s="12"/>
      <c r="BW269" s="12"/>
      <c r="BX269" s="12"/>
      <c r="BY269" s="18" t="s">
        <v>344</v>
      </c>
      <c r="BZ269" s="13" t="s">
        <v>6170</v>
      </c>
      <c r="CA269" s="13" t="s">
        <v>6170</v>
      </c>
      <c r="CB269" s="13" t="s">
        <v>312</v>
      </c>
      <c r="CC269" s="13"/>
      <c r="CD269" s="13" t="s">
        <v>6198</v>
      </c>
      <c r="CE269" s="13"/>
      <c r="CF269" s="13"/>
    </row>
    <row r="270" spans="1:84" ht="18.600000000000001" customHeight="1" x14ac:dyDescent="0.25">
      <c r="A270" s="60" t="s">
        <v>97</v>
      </c>
      <c r="B270" s="2" t="s">
        <v>315</v>
      </c>
      <c r="C270" s="3" t="s">
        <v>2851</v>
      </c>
      <c r="D270" s="12" t="s">
        <v>3191</v>
      </c>
      <c r="E270" s="12" t="s">
        <v>1132</v>
      </c>
      <c r="F270" s="12" t="s">
        <v>4266</v>
      </c>
      <c r="G270" s="25">
        <v>204093</v>
      </c>
      <c r="H270" s="25">
        <v>168097</v>
      </c>
      <c r="I270" s="25">
        <v>3829</v>
      </c>
      <c r="J270" s="25">
        <v>24306</v>
      </c>
      <c r="K270" s="25">
        <v>601781</v>
      </c>
      <c r="L270" s="25">
        <v>59043</v>
      </c>
      <c r="M270" s="25">
        <v>660824</v>
      </c>
      <c r="N270" s="31">
        <v>0.91</v>
      </c>
      <c r="O270" s="25">
        <v>21197</v>
      </c>
      <c r="P270" s="25">
        <v>1525</v>
      </c>
      <c r="Q270" s="25">
        <v>5849</v>
      </c>
      <c r="R270" s="25">
        <v>778</v>
      </c>
      <c r="S270" s="25">
        <v>730</v>
      </c>
      <c r="T270" s="25">
        <v>322</v>
      </c>
      <c r="U270" s="61">
        <v>180</v>
      </c>
      <c r="V270" s="58">
        <v>1E-3</v>
      </c>
      <c r="W270" s="33">
        <v>4.0000000000000002E-4</v>
      </c>
      <c r="X270" s="33">
        <v>2.0000000000000001E-4</v>
      </c>
      <c r="Y270" s="33">
        <v>6.9999999999999999E-4</v>
      </c>
      <c r="Z270" s="33">
        <v>2.3999999999999998E-3</v>
      </c>
      <c r="AA270" s="33">
        <v>2.0000000000000001E-4</v>
      </c>
      <c r="AB270" s="25">
        <v>6875</v>
      </c>
      <c r="AC270" s="25">
        <v>6057</v>
      </c>
      <c r="AD270" s="25">
        <v>109</v>
      </c>
      <c r="AE270" s="25">
        <v>16</v>
      </c>
      <c r="AF270" s="25">
        <v>447</v>
      </c>
      <c r="AG270" s="25">
        <v>204</v>
      </c>
      <c r="AH270" s="25">
        <v>42</v>
      </c>
      <c r="AI270" s="12">
        <v>15.66</v>
      </c>
      <c r="AJ270" s="25">
        <v>121812</v>
      </c>
      <c r="AK270" s="25">
        <v>109030</v>
      </c>
      <c r="AL270" s="33">
        <v>8.5299999999999994</v>
      </c>
      <c r="AM270" s="3" t="s">
        <v>2851</v>
      </c>
      <c r="AN270" s="12" t="s">
        <v>1132</v>
      </c>
      <c r="AO270" s="12" t="s">
        <v>1132</v>
      </c>
      <c r="AP270" s="12" t="str">
        <f>"149439858472433"</f>
        <v>149439858472433</v>
      </c>
      <c r="AQ270" s="12" t="s">
        <v>3191</v>
      </c>
      <c r="AR270" s="12" t="s">
        <v>1133</v>
      </c>
      <c r="AS270" s="12" t="s">
        <v>1134</v>
      </c>
      <c r="AT270" s="12"/>
      <c r="AU270" s="12" t="s">
        <v>324</v>
      </c>
      <c r="AV270" s="12"/>
      <c r="AW270" s="12">
        <v>1962</v>
      </c>
      <c r="AX270" s="12">
        <v>0</v>
      </c>
      <c r="AY270" s="12">
        <v>3289</v>
      </c>
      <c r="AZ270" s="12">
        <v>0</v>
      </c>
      <c r="BA270" s="12" t="s">
        <v>1135</v>
      </c>
      <c r="BB270" s="12" t="s">
        <v>5954</v>
      </c>
      <c r="BC270" s="12" t="s">
        <v>7030</v>
      </c>
      <c r="BD270" s="12"/>
      <c r="BE270" s="12" t="s">
        <v>2291</v>
      </c>
      <c r="BF270" s="12"/>
      <c r="BG270" s="12"/>
      <c r="BH270" s="12"/>
      <c r="BI270" s="12"/>
      <c r="BJ270" s="12"/>
      <c r="BK270" s="12"/>
      <c r="BL270" s="12" t="s">
        <v>2292</v>
      </c>
      <c r="BM270" s="12" t="s">
        <v>2292</v>
      </c>
      <c r="BN270" s="12" t="s">
        <v>2292</v>
      </c>
      <c r="BO270" s="12" t="s">
        <v>2292</v>
      </c>
      <c r="BP270" s="12"/>
      <c r="BQ270" s="12"/>
      <c r="BR270" s="12"/>
      <c r="BS270" s="12"/>
      <c r="BT270" s="12"/>
      <c r="BU270" s="12"/>
      <c r="BV270" s="12"/>
      <c r="BW270" s="12" t="s">
        <v>1136</v>
      </c>
      <c r="BX270" s="12"/>
      <c r="BY270" s="13" t="s">
        <v>313</v>
      </c>
      <c r="BZ270" s="13" t="s">
        <v>312</v>
      </c>
      <c r="CA270" s="13"/>
      <c r="CB270" s="13"/>
      <c r="CC270" s="13"/>
      <c r="CD270" s="13"/>
      <c r="CE270" s="13"/>
      <c r="CF270" s="13"/>
    </row>
    <row r="271" spans="1:84" ht="18.600000000000001" customHeight="1" x14ac:dyDescent="0.25">
      <c r="A271" s="60" t="s">
        <v>97</v>
      </c>
      <c r="B271" s="2" t="s">
        <v>5516</v>
      </c>
      <c r="C271" s="3" t="s">
        <v>5517</v>
      </c>
      <c r="D271" s="12" t="s">
        <v>5542</v>
      </c>
      <c r="E271" s="12" t="s">
        <v>5526</v>
      </c>
      <c r="F271" s="12" t="s">
        <v>5543</v>
      </c>
      <c r="G271" s="25">
        <v>128648</v>
      </c>
      <c r="H271" s="25">
        <v>98256</v>
      </c>
      <c r="I271" s="25">
        <v>11891</v>
      </c>
      <c r="J271" s="25">
        <v>8042</v>
      </c>
      <c r="K271" s="25">
        <v>18415</v>
      </c>
      <c r="L271" s="25">
        <v>24549</v>
      </c>
      <c r="M271" s="25">
        <v>42964</v>
      </c>
      <c r="N271" s="31">
        <v>0.43</v>
      </c>
      <c r="O271" s="25">
        <v>81586</v>
      </c>
      <c r="P271" s="25">
        <v>0</v>
      </c>
      <c r="Q271" s="25">
        <v>5798</v>
      </c>
      <c r="R271" s="25">
        <v>567</v>
      </c>
      <c r="S271" s="25">
        <v>3018</v>
      </c>
      <c r="T271" s="25">
        <v>511</v>
      </c>
      <c r="U271" s="61">
        <v>352</v>
      </c>
      <c r="V271" s="58">
        <v>6.7999999999999996E-3</v>
      </c>
      <c r="W271" s="33">
        <v>6.0000000000000001E-3</v>
      </c>
      <c r="X271" s="33">
        <v>1E-3</v>
      </c>
      <c r="Y271" s="33">
        <v>9.4000000000000004E-3</v>
      </c>
      <c r="Z271" s="33">
        <v>3.4700000000000002E-2</v>
      </c>
      <c r="AA271" s="33">
        <v>7.4999999999999997E-3</v>
      </c>
      <c r="AB271" s="25">
        <v>159</v>
      </c>
      <c r="AC271" s="25">
        <v>35</v>
      </c>
      <c r="AD271" s="25">
        <v>1</v>
      </c>
      <c r="AE271" s="25">
        <v>77</v>
      </c>
      <c r="AF271" s="25">
        <v>1</v>
      </c>
      <c r="AG271" s="25">
        <v>44</v>
      </c>
      <c r="AH271" s="25">
        <v>1</v>
      </c>
      <c r="AI271" s="12">
        <v>0.36</v>
      </c>
      <c r="AJ271" s="25">
        <v>122779</v>
      </c>
      <c r="AK271" s="25">
        <v>0</v>
      </c>
      <c r="AL271" s="31">
        <v>0</v>
      </c>
      <c r="AM271" s="3" t="s">
        <v>5517</v>
      </c>
      <c r="AN271" s="12" t="s">
        <v>5526</v>
      </c>
      <c r="AO271" s="12" t="s">
        <v>5526</v>
      </c>
      <c r="AP271" s="12" t="str">
        <f>"174614782552486"</f>
        <v>174614782552486</v>
      </c>
      <c r="AQ271" s="12" t="s">
        <v>5542</v>
      </c>
      <c r="AR271" s="12"/>
      <c r="AS271" s="12" t="s">
        <v>5588</v>
      </c>
      <c r="AT271" s="12"/>
      <c r="AU271" s="12" t="s">
        <v>309</v>
      </c>
      <c r="AV271" s="12"/>
      <c r="AW271" s="12"/>
      <c r="AX271" s="12">
        <v>0</v>
      </c>
      <c r="AY271" s="12">
        <v>3975</v>
      </c>
      <c r="AZ271" s="12">
        <v>0</v>
      </c>
      <c r="BA271" s="12" t="s">
        <v>5589</v>
      </c>
      <c r="BB271" s="12" t="s">
        <v>5875</v>
      </c>
      <c r="BC271" s="12" t="s">
        <v>6741</v>
      </c>
      <c r="BD271" s="12"/>
      <c r="BE271" s="12" t="s">
        <v>2291</v>
      </c>
      <c r="BF271" s="12"/>
      <c r="BG271" s="12"/>
      <c r="BH271" s="12"/>
      <c r="BI271" s="12"/>
      <c r="BJ271" s="12"/>
      <c r="BK271" s="12"/>
      <c r="BL271" s="12" t="s">
        <v>2292</v>
      </c>
      <c r="BM271" s="12" t="s">
        <v>2292</v>
      </c>
      <c r="BN271" s="12" t="s">
        <v>2292</v>
      </c>
      <c r="BO271" s="12" t="s">
        <v>2292</v>
      </c>
      <c r="BP271" s="12"/>
      <c r="BQ271" s="12"/>
      <c r="BR271" s="12"/>
      <c r="BS271" s="12"/>
      <c r="BT271" s="12"/>
      <c r="BU271" s="12"/>
      <c r="BV271" s="12"/>
      <c r="BW271" s="12" t="s">
        <v>5590</v>
      </c>
      <c r="BX271" s="12"/>
      <c r="BY271" s="13" t="s">
        <v>313</v>
      </c>
      <c r="BZ271" s="13" t="s">
        <v>312</v>
      </c>
      <c r="CA271" s="13"/>
      <c r="CB271" s="13"/>
      <c r="CC271" s="13"/>
      <c r="CD271" s="13"/>
      <c r="CE271" s="13"/>
      <c r="CF271" s="13"/>
    </row>
    <row r="272" spans="1:84" ht="18.600000000000001" customHeight="1" x14ac:dyDescent="0.25">
      <c r="A272" s="60" t="s">
        <v>97</v>
      </c>
      <c r="B272" s="2" t="s">
        <v>335</v>
      </c>
      <c r="C272" s="3" t="s">
        <v>3130</v>
      </c>
      <c r="D272" s="12" t="s">
        <v>1138</v>
      </c>
      <c r="E272" s="12" t="s">
        <v>1137</v>
      </c>
      <c r="F272" s="12" t="s">
        <v>4224</v>
      </c>
      <c r="G272" s="25">
        <v>0</v>
      </c>
      <c r="H272" s="25">
        <v>0</v>
      </c>
      <c r="I272" s="25">
        <v>0</v>
      </c>
      <c r="J272" s="25">
        <v>0</v>
      </c>
      <c r="K272" s="25">
        <v>0</v>
      </c>
      <c r="L272" s="25">
        <v>0</v>
      </c>
      <c r="M272" s="25">
        <v>0</v>
      </c>
      <c r="N272" s="31">
        <v>0</v>
      </c>
      <c r="O272" s="25">
        <v>0</v>
      </c>
      <c r="P272" s="25">
        <v>0</v>
      </c>
      <c r="Q272" s="25">
        <v>0</v>
      </c>
      <c r="R272" s="25">
        <v>0</v>
      </c>
      <c r="S272" s="25">
        <v>0</v>
      </c>
      <c r="T272" s="25">
        <v>0</v>
      </c>
      <c r="U272" s="61">
        <v>0</v>
      </c>
      <c r="V272" s="59"/>
      <c r="W272" s="12" t="s">
        <v>3926</v>
      </c>
      <c r="X272" s="12" t="s">
        <v>3926</v>
      </c>
      <c r="Y272" s="12" t="s">
        <v>3926</v>
      </c>
      <c r="Z272" s="12" t="s">
        <v>3926</v>
      </c>
      <c r="AA272" s="12" t="s">
        <v>3926</v>
      </c>
      <c r="AB272" s="25" t="s">
        <v>3927</v>
      </c>
      <c r="AC272" s="25">
        <v>0</v>
      </c>
      <c r="AD272" s="25">
        <v>0</v>
      </c>
      <c r="AE272" s="25">
        <v>0</v>
      </c>
      <c r="AF272" s="25">
        <v>0</v>
      </c>
      <c r="AG272" s="25">
        <v>0</v>
      </c>
      <c r="AH272" s="25">
        <v>0</v>
      </c>
      <c r="AI272" s="12">
        <v>0</v>
      </c>
      <c r="AJ272" s="25">
        <v>28366</v>
      </c>
      <c r="AK272" s="25">
        <v>3046</v>
      </c>
      <c r="AL272" s="33">
        <v>0.1203</v>
      </c>
      <c r="AM272" s="3" t="s">
        <v>3130</v>
      </c>
      <c r="AN272" s="12" t="s">
        <v>1137</v>
      </c>
      <c r="AO272" s="12" t="s">
        <v>1137</v>
      </c>
      <c r="AP272" s="12" t="str">
        <f>"534852983277743"</f>
        <v>534852983277743</v>
      </c>
      <c r="AQ272" s="12" t="s">
        <v>1138</v>
      </c>
      <c r="AR272" s="12" t="s">
        <v>4607</v>
      </c>
      <c r="AS272" s="12" t="s">
        <v>1139</v>
      </c>
      <c r="AT272" s="12"/>
      <c r="AU272" s="12" t="s">
        <v>4810</v>
      </c>
      <c r="AV272" s="12" t="s">
        <v>5929</v>
      </c>
      <c r="AW272" s="12"/>
      <c r="AX272" s="12">
        <v>10704</v>
      </c>
      <c r="AY272" s="12">
        <v>222</v>
      </c>
      <c r="AZ272" s="12">
        <v>10704</v>
      </c>
      <c r="BA272" s="12" t="s">
        <v>1140</v>
      </c>
      <c r="BB272" s="12" t="s">
        <v>6954</v>
      </c>
      <c r="BC272" s="12" t="s">
        <v>6955</v>
      </c>
      <c r="BD272" s="12"/>
      <c r="BE272" s="12" t="s">
        <v>2291</v>
      </c>
      <c r="BF272" s="12"/>
      <c r="BG272" s="12"/>
      <c r="BH272" s="12"/>
      <c r="BI272" s="12"/>
      <c r="BJ272" s="12"/>
      <c r="BK272" s="12"/>
      <c r="BL272" s="12" t="s">
        <v>2292</v>
      </c>
      <c r="BM272" s="12" t="s">
        <v>2292</v>
      </c>
      <c r="BN272" s="12" t="s">
        <v>2292</v>
      </c>
      <c r="BO272" s="12" t="s">
        <v>2292</v>
      </c>
      <c r="BP272" s="12"/>
      <c r="BQ272" s="12"/>
      <c r="BR272" s="12"/>
      <c r="BS272" s="12"/>
      <c r="BT272" s="12"/>
      <c r="BU272" s="12" t="s">
        <v>326</v>
      </c>
      <c r="BV272" s="12"/>
      <c r="BW272" s="12" t="s">
        <v>4611</v>
      </c>
      <c r="BX272" s="12"/>
      <c r="BY272" s="14" t="s">
        <v>1141</v>
      </c>
      <c r="BZ272" s="13" t="s">
        <v>6170</v>
      </c>
      <c r="CA272" s="13" t="s">
        <v>6170</v>
      </c>
      <c r="CB272" s="13" t="s">
        <v>312</v>
      </c>
      <c r="CC272" s="13"/>
      <c r="CD272" s="13" t="s">
        <v>6198</v>
      </c>
      <c r="CE272" s="13"/>
      <c r="CF272" s="13"/>
    </row>
    <row r="273" spans="1:84" ht="18.600000000000001" customHeight="1" x14ac:dyDescent="0.25">
      <c r="A273" s="60" t="s">
        <v>97</v>
      </c>
      <c r="B273" s="2" t="s">
        <v>335</v>
      </c>
      <c r="C273" s="4" t="s">
        <v>3864</v>
      </c>
      <c r="D273" s="12" t="s">
        <v>4216</v>
      </c>
      <c r="E273" s="12" t="s">
        <v>4217</v>
      </c>
      <c r="F273" s="12" t="s">
        <v>4218</v>
      </c>
      <c r="G273" s="25">
        <v>666</v>
      </c>
      <c r="H273" s="25">
        <v>605</v>
      </c>
      <c r="I273" s="25">
        <v>21</v>
      </c>
      <c r="J273" s="25">
        <v>28</v>
      </c>
      <c r="K273" s="25">
        <v>378</v>
      </c>
      <c r="L273" s="25">
        <v>83</v>
      </c>
      <c r="M273" s="25">
        <v>461</v>
      </c>
      <c r="N273" s="31">
        <v>0.82</v>
      </c>
      <c r="O273" s="25">
        <v>0</v>
      </c>
      <c r="P273" s="25">
        <v>0</v>
      </c>
      <c r="Q273" s="25">
        <v>8</v>
      </c>
      <c r="R273" s="25">
        <v>1</v>
      </c>
      <c r="S273" s="25">
        <v>0</v>
      </c>
      <c r="T273" s="25">
        <v>1</v>
      </c>
      <c r="U273" s="61">
        <v>2</v>
      </c>
      <c r="V273" s="58">
        <v>1.03E-2</v>
      </c>
      <c r="W273" s="33">
        <v>1.32E-2</v>
      </c>
      <c r="X273" s="12" t="s">
        <v>3926</v>
      </c>
      <c r="Y273" s="33">
        <v>6.4999999999999997E-3</v>
      </c>
      <c r="Z273" s="33">
        <v>1.67E-2</v>
      </c>
      <c r="AA273" s="12" t="s">
        <v>3926</v>
      </c>
      <c r="AB273" s="25">
        <v>51</v>
      </c>
      <c r="AC273" s="25">
        <v>28</v>
      </c>
      <c r="AD273" s="25">
        <v>0</v>
      </c>
      <c r="AE273" s="25">
        <v>21</v>
      </c>
      <c r="AF273" s="25">
        <v>2</v>
      </c>
      <c r="AG273" s="25">
        <v>0</v>
      </c>
      <c r="AH273" s="25">
        <v>0</v>
      </c>
      <c r="AI273" s="12">
        <v>0.12</v>
      </c>
      <c r="AJ273" s="25">
        <v>1417</v>
      </c>
      <c r="AK273" s="25">
        <v>385</v>
      </c>
      <c r="AL273" s="33">
        <v>0.37309999999999999</v>
      </c>
      <c r="AM273" s="4" t="s">
        <v>3864</v>
      </c>
      <c r="AN273" s="12" t="s">
        <v>4217</v>
      </c>
      <c r="AO273" s="12" t="s">
        <v>4217</v>
      </c>
      <c r="AP273" s="12" t="str">
        <f>"1670167993264841"</f>
        <v>1670167993264841</v>
      </c>
      <c r="AQ273" s="12" t="s">
        <v>4216</v>
      </c>
      <c r="AR273" s="12" t="s">
        <v>4607</v>
      </c>
      <c r="AS273" s="12" t="s">
        <v>4608</v>
      </c>
      <c r="AT273" s="12"/>
      <c r="AU273" s="12" t="s">
        <v>324</v>
      </c>
      <c r="AV273" s="12" t="s">
        <v>5731</v>
      </c>
      <c r="AW273" s="12"/>
      <c r="AX273" s="12">
        <v>94</v>
      </c>
      <c r="AY273" s="12">
        <v>4</v>
      </c>
      <c r="AZ273" s="12">
        <v>94</v>
      </c>
      <c r="BA273" s="12" t="s">
        <v>4609</v>
      </c>
      <c r="BB273" s="12" t="s">
        <v>6939</v>
      </c>
      <c r="BC273" s="12" t="s">
        <v>6940</v>
      </c>
      <c r="BD273" s="12"/>
      <c r="BE273" s="12" t="s">
        <v>2291</v>
      </c>
      <c r="BF273" s="12"/>
      <c r="BG273" s="12"/>
      <c r="BH273" s="12"/>
      <c r="BI273" s="12"/>
      <c r="BJ273" s="12"/>
      <c r="BK273" s="12"/>
      <c r="BL273" s="12" t="s">
        <v>2292</v>
      </c>
      <c r="BM273" s="12" t="s">
        <v>2292</v>
      </c>
      <c r="BN273" s="12" t="s">
        <v>2292</v>
      </c>
      <c r="BO273" s="12" t="s">
        <v>2292</v>
      </c>
      <c r="BP273" s="12"/>
      <c r="BQ273" s="12"/>
      <c r="BR273" s="12"/>
      <c r="BS273" s="12"/>
      <c r="BT273" s="12"/>
      <c r="BU273" s="12" t="s">
        <v>326</v>
      </c>
      <c r="BV273" s="12"/>
      <c r="BW273" s="12" t="s">
        <v>4610</v>
      </c>
      <c r="BX273" s="12"/>
      <c r="BY273" s="13" t="s">
        <v>313</v>
      </c>
      <c r="BZ273" s="13" t="s">
        <v>312</v>
      </c>
      <c r="CA273" s="13"/>
      <c r="CB273" s="13"/>
      <c r="CC273" s="13"/>
      <c r="CD273" s="13"/>
      <c r="CE273" s="13"/>
      <c r="CF273" s="13"/>
    </row>
    <row r="274" spans="1:84" ht="18.600000000000001" customHeight="1" x14ac:dyDescent="0.25">
      <c r="A274" s="60" t="s">
        <v>247</v>
      </c>
      <c r="B274" s="2" t="s">
        <v>5051</v>
      </c>
      <c r="C274" s="4" t="s">
        <v>5052</v>
      </c>
      <c r="D274" s="12" t="s">
        <v>5684</v>
      </c>
      <c r="E274" s="12" t="s">
        <v>5151</v>
      </c>
      <c r="F274" s="12" t="s">
        <v>5152</v>
      </c>
      <c r="G274" s="25">
        <v>363434</v>
      </c>
      <c r="H274" s="25">
        <v>294769</v>
      </c>
      <c r="I274" s="25">
        <v>34680</v>
      </c>
      <c r="J274" s="25">
        <v>15164</v>
      </c>
      <c r="K274" s="25">
        <v>668304</v>
      </c>
      <c r="L274" s="25">
        <v>372242</v>
      </c>
      <c r="M274" s="25">
        <v>1040546</v>
      </c>
      <c r="N274" s="31">
        <v>0.64</v>
      </c>
      <c r="O274" s="25">
        <v>34670</v>
      </c>
      <c r="P274" s="25">
        <v>214409</v>
      </c>
      <c r="Q274" s="25">
        <v>15108</v>
      </c>
      <c r="R274" s="25">
        <v>740</v>
      </c>
      <c r="S274" s="25">
        <v>1505</v>
      </c>
      <c r="T274" s="25">
        <v>669</v>
      </c>
      <c r="U274" s="61">
        <v>796</v>
      </c>
      <c r="V274" s="58">
        <v>1.5E-3</v>
      </c>
      <c r="W274" s="33">
        <v>1.9E-3</v>
      </c>
      <c r="X274" s="12" t="s">
        <v>3926</v>
      </c>
      <c r="Y274" s="33">
        <v>8.0000000000000004E-4</v>
      </c>
      <c r="Z274" s="33">
        <v>3.3999999999999998E-3</v>
      </c>
      <c r="AA274" s="33">
        <v>6.9999999999999999E-4</v>
      </c>
      <c r="AB274" s="25">
        <v>680</v>
      </c>
      <c r="AC274" s="25">
        <v>280</v>
      </c>
      <c r="AD274" s="25">
        <v>0</v>
      </c>
      <c r="AE274" s="25">
        <v>159</v>
      </c>
      <c r="AF274" s="25">
        <v>48</v>
      </c>
      <c r="AG274" s="25">
        <v>7</v>
      </c>
      <c r="AH274" s="25">
        <v>186</v>
      </c>
      <c r="AI274" s="12">
        <v>1.55</v>
      </c>
      <c r="AJ274" s="25">
        <v>476291</v>
      </c>
      <c r="AK274" s="25">
        <v>186333</v>
      </c>
      <c r="AL274" s="33">
        <v>0.64259999999999995</v>
      </c>
      <c r="AM274" s="4" t="s">
        <v>5052</v>
      </c>
      <c r="AN274" s="12" t="s">
        <v>5151</v>
      </c>
      <c r="AO274" s="12" t="s">
        <v>5151</v>
      </c>
      <c r="AP274" s="12" t="str">
        <f>"117918018266176"</f>
        <v>117918018266176</v>
      </c>
      <c r="AQ274" s="12" t="s">
        <v>5684</v>
      </c>
      <c r="AR274" s="12" t="s">
        <v>5428</v>
      </c>
      <c r="AS274" s="12" t="s">
        <v>5429</v>
      </c>
      <c r="AT274" s="12" t="s">
        <v>5430</v>
      </c>
      <c r="AU274" s="12" t="s">
        <v>319</v>
      </c>
      <c r="AV274" s="12"/>
      <c r="AW274" s="12"/>
      <c r="AX274" s="12">
        <v>0</v>
      </c>
      <c r="AY274" s="12">
        <v>2765</v>
      </c>
      <c r="AZ274" s="12">
        <v>0</v>
      </c>
      <c r="BA274" s="12" t="s">
        <v>5431</v>
      </c>
      <c r="BB274" s="12" t="s">
        <v>7107</v>
      </c>
      <c r="BC274" s="12" t="s">
        <v>7108</v>
      </c>
      <c r="BD274" s="12" t="s">
        <v>5432</v>
      </c>
      <c r="BE274" s="12" t="s">
        <v>2291</v>
      </c>
      <c r="BF274" s="12"/>
      <c r="BG274" s="12"/>
      <c r="BH274" s="12"/>
      <c r="BI274" s="12"/>
      <c r="BJ274" s="12"/>
      <c r="BK274" s="12"/>
      <c r="BL274" s="12" t="s">
        <v>2292</v>
      </c>
      <c r="BM274" s="12" t="s">
        <v>2292</v>
      </c>
      <c r="BN274" s="12" t="s">
        <v>2292</v>
      </c>
      <c r="BO274" s="12" t="s">
        <v>2291</v>
      </c>
      <c r="BP274" s="12"/>
      <c r="BQ274" s="12"/>
      <c r="BR274" s="12"/>
      <c r="BS274" s="12"/>
      <c r="BT274" s="12">
        <v>97022959928</v>
      </c>
      <c r="BU274" s="12"/>
      <c r="BV274" s="12"/>
      <c r="BW274" s="12" t="s">
        <v>5433</v>
      </c>
      <c r="BX274" s="12"/>
      <c r="BY274" s="13" t="s">
        <v>313</v>
      </c>
      <c r="BZ274" s="13" t="s">
        <v>6173</v>
      </c>
      <c r="CA274" s="13" t="s">
        <v>6170</v>
      </c>
      <c r="CB274" s="13" t="s">
        <v>6200</v>
      </c>
      <c r="CC274" s="13"/>
      <c r="CD274" s="13" t="s">
        <v>6198</v>
      </c>
      <c r="CE274" s="13"/>
      <c r="CF274" s="13"/>
    </row>
    <row r="275" spans="1:84" ht="18.600000000000001" customHeight="1" x14ac:dyDescent="0.25">
      <c r="A275" s="60" t="s">
        <v>247</v>
      </c>
      <c r="B275" s="2" t="s">
        <v>1145</v>
      </c>
      <c r="C275" s="3" t="s">
        <v>2937</v>
      </c>
      <c r="D275" s="12" t="s">
        <v>2938</v>
      </c>
      <c r="E275" s="12" t="s">
        <v>1142</v>
      </c>
      <c r="F275" s="12" t="s">
        <v>4332</v>
      </c>
      <c r="G275" s="25">
        <v>1037073</v>
      </c>
      <c r="H275" s="25">
        <v>857723</v>
      </c>
      <c r="I275" s="25">
        <v>129495</v>
      </c>
      <c r="J275" s="25">
        <v>22990</v>
      </c>
      <c r="K275" s="25">
        <v>5846860</v>
      </c>
      <c r="L275" s="25">
        <v>1016877</v>
      </c>
      <c r="M275" s="25">
        <v>6863737</v>
      </c>
      <c r="N275" s="31">
        <v>0.85</v>
      </c>
      <c r="O275" s="25">
        <v>0</v>
      </c>
      <c r="P275" s="25">
        <v>0</v>
      </c>
      <c r="Q275" s="25">
        <v>20577</v>
      </c>
      <c r="R275" s="25">
        <v>985</v>
      </c>
      <c r="S275" s="25">
        <v>2887</v>
      </c>
      <c r="T275" s="25">
        <v>1464</v>
      </c>
      <c r="U275" s="61">
        <v>951</v>
      </c>
      <c r="V275" s="58">
        <v>2.0999999999999999E-3</v>
      </c>
      <c r="W275" s="33">
        <v>1.2999999999999999E-3</v>
      </c>
      <c r="X275" s="33">
        <v>2.5000000000000001E-3</v>
      </c>
      <c r="Y275" s="33">
        <v>4.8999999999999998E-3</v>
      </c>
      <c r="Z275" s="33">
        <v>2.7000000000000001E-3</v>
      </c>
      <c r="AA275" s="12" t="s">
        <v>3926</v>
      </c>
      <c r="AB275" s="25">
        <v>785</v>
      </c>
      <c r="AC275" s="25">
        <v>481</v>
      </c>
      <c r="AD275" s="25">
        <v>2</v>
      </c>
      <c r="AE275" s="25">
        <v>108</v>
      </c>
      <c r="AF275" s="25">
        <v>194</v>
      </c>
      <c r="AG275" s="25">
        <v>0</v>
      </c>
      <c r="AH275" s="25">
        <v>0</v>
      </c>
      <c r="AI275" s="12">
        <v>1.79</v>
      </c>
      <c r="AJ275" s="25">
        <v>1077815</v>
      </c>
      <c r="AK275" s="25">
        <v>910123</v>
      </c>
      <c r="AL275" s="33">
        <v>5.4272999999999998</v>
      </c>
      <c r="AM275" s="3" t="s">
        <v>2937</v>
      </c>
      <c r="AN275" s="12" t="s">
        <v>1142</v>
      </c>
      <c r="AO275" s="12" t="s">
        <v>1142</v>
      </c>
      <c r="AP275" s="12" t="str">
        <f>"541962839199606"</f>
        <v>541962839199606</v>
      </c>
      <c r="AQ275" s="12" t="s">
        <v>2938</v>
      </c>
      <c r="AR275" s="12" t="s">
        <v>3273</v>
      </c>
      <c r="AS275" s="12" t="s">
        <v>2939</v>
      </c>
      <c r="AT275" s="12"/>
      <c r="AU275" s="12" t="s">
        <v>424</v>
      </c>
      <c r="AV275" s="12"/>
      <c r="AW275" s="12"/>
      <c r="AX275" s="12">
        <v>0</v>
      </c>
      <c r="AY275" s="12">
        <v>71261</v>
      </c>
      <c r="AZ275" s="12">
        <v>0</v>
      </c>
      <c r="BA275" s="12" t="s">
        <v>1143</v>
      </c>
      <c r="BB275" s="12" t="s">
        <v>5994</v>
      </c>
      <c r="BC275" s="12" t="s">
        <v>7181</v>
      </c>
      <c r="BD275" s="12"/>
      <c r="BE275" s="12" t="s">
        <v>2291</v>
      </c>
      <c r="BF275" s="12"/>
      <c r="BG275" s="12"/>
      <c r="BH275" s="12"/>
      <c r="BI275" s="12"/>
      <c r="BJ275" s="12"/>
      <c r="BK275" s="12"/>
      <c r="BL275" s="12" t="s">
        <v>2292</v>
      </c>
      <c r="BM275" s="12" t="s">
        <v>2292</v>
      </c>
      <c r="BN275" s="12" t="s">
        <v>2292</v>
      </c>
      <c r="BO275" s="12" t="s">
        <v>2291</v>
      </c>
      <c r="BP275" s="12"/>
      <c r="BQ275" s="12"/>
      <c r="BR275" s="12"/>
      <c r="BS275" s="12"/>
      <c r="BT275" s="12"/>
      <c r="BU275" s="12"/>
      <c r="BV275" s="12"/>
      <c r="BW275" s="12" t="s">
        <v>1144</v>
      </c>
      <c r="BX275" s="12"/>
      <c r="BY275" s="13" t="s">
        <v>313</v>
      </c>
      <c r="BZ275" s="13" t="s">
        <v>6173</v>
      </c>
      <c r="CA275" s="13"/>
      <c r="CB275" s="13"/>
      <c r="CC275" s="13"/>
      <c r="CD275" s="13"/>
      <c r="CE275" s="13"/>
      <c r="CF275" s="13"/>
    </row>
    <row r="276" spans="1:84" ht="18.600000000000001" customHeight="1" x14ac:dyDescent="0.25">
      <c r="A276" s="60" t="s">
        <v>247</v>
      </c>
      <c r="B276" s="2" t="s">
        <v>315</v>
      </c>
      <c r="C276" s="3" t="s">
        <v>2545</v>
      </c>
      <c r="D276" s="12" t="s">
        <v>1147</v>
      </c>
      <c r="E276" s="12" t="s">
        <v>1146</v>
      </c>
      <c r="F276" s="12" t="s">
        <v>4084</v>
      </c>
      <c r="G276" s="25">
        <v>34088</v>
      </c>
      <c r="H276" s="25">
        <v>30765</v>
      </c>
      <c r="I276" s="25">
        <v>1352</v>
      </c>
      <c r="J276" s="25">
        <v>1475</v>
      </c>
      <c r="K276" s="25">
        <v>45758</v>
      </c>
      <c r="L276" s="25">
        <v>31689</v>
      </c>
      <c r="M276" s="25">
        <v>77447</v>
      </c>
      <c r="N276" s="31">
        <v>0.59</v>
      </c>
      <c r="O276" s="25">
        <v>14094</v>
      </c>
      <c r="P276" s="25">
        <v>0</v>
      </c>
      <c r="Q276" s="25">
        <v>270</v>
      </c>
      <c r="R276" s="25">
        <v>36</v>
      </c>
      <c r="S276" s="25">
        <v>86</v>
      </c>
      <c r="T276" s="25">
        <v>48</v>
      </c>
      <c r="U276" s="61">
        <v>56</v>
      </c>
      <c r="V276" s="58">
        <v>4.0000000000000002E-4</v>
      </c>
      <c r="W276" s="33">
        <v>2.9999999999999997E-4</v>
      </c>
      <c r="X276" s="33">
        <v>2.9999999999999997E-4</v>
      </c>
      <c r="Y276" s="33">
        <v>1.2999999999999999E-3</v>
      </c>
      <c r="Z276" s="33">
        <v>4.0000000000000002E-4</v>
      </c>
      <c r="AA276" s="33">
        <v>1E-4</v>
      </c>
      <c r="AB276" s="25">
        <v>783</v>
      </c>
      <c r="AC276" s="25">
        <v>196</v>
      </c>
      <c r="AD276" s="25">
        <v>437</v>
      </c>
      <c r="AE276" s="25">
        <v>70</v>
      </c>
      <c r="AF276" s="25">
        <v>56</v>
      </c>
      <c r="AG276" s="25">
        <v>22</v>
      </c>
      <c r="AH276" s="25">
        <v>2</v>
      </c>
      <c r="AI276" s="12">
        <v>1.78</v>
      </c>
      <c r="AJ276" s="25">
        <v>106638</v>
      </c>
      <c r="AK276" s="25">
        <v>-278</v>
      </c>
      <c r="AL276" s="33">
        <v>-2.5999999999999999E-3</v>
      </c>
      <c r="AM276" s="3" t="s">
        <v>2545</v>
      </c>
      <c r="AN276" s="12" t="s">
        <v>1146</v>
      </c>
      <c r="AO276" s="12" t="s">
        <v>1146</v>
      </c>
      <c r="AP276" s="12" t="str">
        <f>"764871770212314"</f>
        <v>764871770212314</v>
      </c>
      <c r="AQ276" s="12" t="s">
        <v>1147</v>
      </c>
      <c r="AR276" s="12" t="s">
        <v>4916</v>
      </c>
      <c r="AS276" s="12" t="s">
        <v>4894</v>
      </c>
      <c r="AT276" s="12"/>
      <c r="AU276" s="12" t="s">
        <v>424</v>
      </c>
      <c r="AV276" s="12"/>
      <c r="AW276" s="12"/>
      <c r="AX276" s="12">
        <v>0</v>
      </c>
      <c r="AY276" s="12">
        <v>337</v>
      </c>
      <c r="AZ276" s="12">
        <v>0</v>
      </c>
      <c r="BA276" s="12" t="s">
        <v>1148</v>
      </c>
      <c r="BB276" s="12" t="s">
        <v>5831</v>
      </c>
      <c r="BC276" s="12" t="s">
        <v>6616</v>
      </c>
      <c r="BD276" s="12"/>
      <c r="BE276" s="12" t="s">
        <v>2291</v>
      </c>
      <c r="BF276" s="12"/>
      <c r="BG276" s="12"/>
      <c r="BH276" s="12"/>
      <c r="BI276" s="12" t="s">
        <v>2546</v>
      </c>
      <c r="BJ276" s="12"/>
      <c r="BK276" s="12"/>
      <c r="BL276" s="12" t="s">
        <v>2292</v>
      </c>
      <c r="BM276" s="12" t="s">
        <v>2292</v>
      </c>
      <c r="BN276" s="12" t="s">
        <v>2292</v>
      </c>
      <c r="BO276" s="12" t="s">
        <v>2291</v>
      </c>
      <c r="BP276" s="12" t="s">
        <v>2547</v>
      </c>
      <c r="BQ276" s="12"/>
      <c r="BR276" s="12"/>
      <c r="BS276" s="12"/>
      <c r="BT276" s="12"/>
      <c r="BU276" s="12"/>
      <c r="BV276" s="12"/>
      <c r="BW276" s="12" t="s">
        <v>2548</v>
      </c>
      <c r="BX276" s="12"/>
      <c r="BY276" s="13" t="s">
        <v>313</v>
      </c>
      <c r="BZ276" s="13" t="s">
        <v>312</v>
      </c>
      <c r="CA276" s="13"/>
      <c r="CB276" s="13"/>
      <c r="CC276" s="13"/>
      <c r="CD276" s="13"/>
      <c r="CE276" s="13"/>
      <c r="CF276" s="13"/>
    </row>
    <row r="277" spans="1:84" ht="18.600000000000001" customHeight="1" x14ac:dyDescent="0.25">
      <c r="A277" s="60" t="s">
        <v>247</v>
      </c>
      <c r="B277" s="2" t="s">
        <v>315</v>
      </c>
      <c r="C277" s="3" t="s">
        <v>4842</v>
      </c>
      <c r="D277" s="12" t="s">
        <v>4791</v>
      </c>
      <c r="E277" s="12" t="s">
        <v>4778</v>
      </c>
      <c r="F277" s="12" t="s">
        <v>4258</v>
      </c>
      <c r="G277" s="25">
        <v>13368</v>
      </c>
      <c r="H277" s="25">
        <v>11845</v>
      </c>
      <c r="I277" s="25">
        <v>720</v>
      </c>
      <c r="J277" s="25">
        <v>688</v>
      </c>
      <c r="K277" s="25">
        <v>20953</v>
      </c>
      <c r="L277" s="25">
        <v>18103</v>
      </c>
      <c r="M277" s="25">
        <v>39056</v>
      </c>
      <c r="N277" s="31">
        <v>0.54</v>
      </c>
      <c r="O277" s="25">
        <v>1797</v>
      </c>
      <c r="P277" s="25">
        <v>94</v>
      </c>
      <c r="Q277" s="25">
        <v>84</v>
      </c>
      <c r="R277" s="25">
        <v>3</v>
      </c>
      <c r="S277" s="25">
        <v>18</v>
      </c>
      <c r="T277" s="25">
        <v>5</v>
      </c>
      <c r="U277" s="61">
        <v>5</v>
      </c>
      <c r="V277" s="58">
        <v>1.4E-3</v>
      </c>
      <c r="W277" s="33">
        <v>1.6000000000000001E-3</v>
      </c>
      <c r="X277" s="33">
        <v>1E-3</v>
      </c>
      <c r="Y277" s="33">
        <v>2E-3</v>
      </c>
      <c r="Z277" s="33">
        <v>1.6000000000000001E-3</v>
      </c>
      <c r="AA277" s="33">
        <v>5.0000000000000001E-4</v>
      </c>
      <c r="AB277" s="25">
        <v>623</v>
      </c>
      <c r="AC277" s="25">
        <v>227</v>
      </c>
      <c r="AD277" s="25">
        <v>266</v>
      </c>
      <c r="AE277" s="25">
        <v>58</v>
      </c>
      <c r="AF277" s="25">
        <v>60</v>
      </c>
      <c r="AG277" s="25">
        <v>10</v>
      </c>
      <c r="AH277" s="25">
        <v>2</v>
      </c>
      <c r="AI277" s="12">
        <v>1.42</v>
      </c>
      <c r="AJ277" s="25">
        <v>17068</v>
      </c>
      <c r="AK277" s="25">
        <v>3040</v>
      </c>
      <c r="AL277" s="33">
        <v>0.2167</v>
      </c>
      <c r="AM277" s="3" t="s">
        <v>4842</v>
      </c>
      <c r="AN277" s="12" t="s">
        <v>4778</v>
      </c>
      <c r="AO277" s="12" t="s">
        <v>4778</v>
      </c>
      <c r="AP277" s="12" t="str">
        <f>"126356524104847"</f>
        <v>126356524104847</v>
      </c>
      <c r="AQ277" s="12" t="s">
        <v>4791</v>
      </c>
      <c r="AR277" s="12" t="s">
        <v>4916</v>
      </c>
      <c r="AS277" s="12"/>
      <c r="AT277" s="12"/>
      <c r="AU277" s="12" t="s">
        <v>424</v>
      </c>
      <c r="AV277" s="12" t="s">
        <v>5868</v>
      </c>
      <c r="AW277" s="12"/>
      <c r="AX277" s="12">
        <v>50</v>
      </c>
      <c r="AY277" s="12">
        <v>624</v>
      </c>
      <c r="AZ277" s="12">
        <v>0</v>
      </c>
      <c r="BA277" s="12" t="s">
        <v>4917</v>
      </c>
      <c r="BB277" s="12" t="s">
        <v>7011</v>
      </c>
      <c r="BC277" s="12" t="s">
        <v>7012</v>
      </c>
      <c r="BD277" s="12"/>
      <c r="BE277" s="12" t="s">
        <v>2291</v>
      </c>
      <c r="BF277" s="12"/>
      <c r="BG277" s="12"/>
      <c r="BH277" s="12"/>
      <c r="BI277" s="12"/>
      <c r="BJ277" s="12"/>
      <c r="BK277" s="12"/>
      <c r="BL277" s="12" t="s">
        <v>2292</v>
      </c>
      <c r="BM277" s="12" t="s">
        <v>2292</v>
      </c>
      <c r="BN277" s="12" t="s">
        <v>2292</v>
      </c>
      <c r="BO277" s="12" t="s">
        <v>2292</v>
      </c>
      <c r="BP277" s="12"/>
      <c r="BQ277" s="12"/>
      <c r="BR277" s="12"/>
      <c r="BS277" s="12"/>
      <c r="BT277" s="12"/>
      <c r="BU277" s="12" t="s">
        <v>326</v>
      </c>
      <c r="BV277" s="12"/>
      <c r="BW277" s="12" t="s">
        <v>4918</v>
      </c>
      <c r="BX277" s="12"/>
      <c r="BY277" s="13" t="s">
        <v>313</v>
      </c>
      <c r="BZ277" s="13" t="s">
        <v>6172</v>
      </c>
      <c r="CA277" s="13"/>
      <c r="CB277" s="13"/>
      <c r="CC277" s="13"/>
      <c r="CD277" s="13"/>
      <c r="CE277" s="13"/>
      <c r="CF277" s="13"/>
    </row>
    <row r="278" spans="1:84" ht="18.600000000000001" customHeight="1" x14ac:dyDescent="0.25">
      <c r="A278" s="60" t="s">
        <v>247</v>
      </c>
      <c r="B278" s="2" t="s">
        <v>335</v>
      </c>
      <c r="C278" s="3" t="s">
        <v>2773</v>
      </c>
      <c r="D278" s="12" t="s">
        <v>5714</v>
      </c>
      <c r="E278" s="12" t="s">
        <v>1149</v>
      </c>
      <c r="F278" s="12" t="s">
        <v>4212</v>
      </c>
      <c r="G278" s="25">
        <v>27779</v>
      </c>
      <c r="H278" s="25">
        <v>22854</v>
      </c>
      <c r="I278" s="25">
        <v>1602</v>
      </c>
      <c r="J278" s="25">
        <v>2693</v>
      </c>
      <c r="K278" s="25">
        <v>21873</v>
      </c>
      <c r="L278" s="25">
        <v>15409</v>
      </c>
      <c r="M278" s="25">
        <v>37282</v>
      </c>
      <c r="N278" s="31">
        <v>0.59</v>
      </c>
      <c r="O278" s="25">
        <v>12090</v>
      </c>
      <c r="P278" s="25">
        <v>1491</v>
      </c>
      <c r="Q278" s="25">
        <v>476</v>
      </c>
      <c r="R278" s="25">
        <v>8</v>
      </c>
      <c r="S278" s="25">
        <v>8</v>
      </c>
      <c r="T278" s="25">
        <v>103</v>
      </c>
      <c r="U278" s="61">
        <v>35</v>
      </c>
      <c r="V278" s="58">
        <v>1.1999999999999999E-3</v>
      </c>
      <c r="W278" s="33">
        <v>1.2999999999999999E-3</v>
      </c>
      <c r="X278" s="33">
        <v>1.1000000000000001E-3</v>
      </c>
      <c r="Y278" s="33">
        <v>8.0000000000000004E-4</v>
      </c>
      <c r="Z278" s="33">
        <v>2.0999999999999999E-3</v>
      </c>
      <c r="AA278" s="33">
        <v>1E-3</v>
      </c>
      <c r="AB278" s="25">
        <v>1827</v>
      </c>
      <c r="AC278" s="25">
        <v>1364</v>
      </c>
      <c r="AD278" s="25">
        <v>55</v>
      </c>
      <c r="AE278" s="25">
        <v>288</v>
      </c>
      <c r="AF278" s="25">
        <v>41</v>
      </c>
      <c r="AG278" s="25">
        <v>54</v>
      </c>
      <c r="AH278" s="25">
        <v>25</v>
      </c>
      <c r="AI278" s="12">
        <v>4.16</v>
      </c>
      <c r="AJ278" s="25">
        <v>14111</v>
      </c>
      <c r="AK278" s="25">
        <v>3643</v>
      </c>
      <c r="AL278" s="33">
        <v>0.34799999999999998</v>
      </c>
      <c r="AM278" s="3" t="s">
        <v>2773</v>
      </c>
      <c r="AN278" s="12" t="s">
        <v>1149</v>
      </c>
      <c r="AO278" s="12" t="s">
        <v>1149</v>
      </c>
      <c r="AP278" s="12" t="str">
        <f>"390975464278928"</f>
        <v>390975464278928</v>
      </c>
      <c r="AQ278" s="12" t="s">
        <v>5714</v>
      </c>
      <c r="AR278" s="12" t="s">
        <v>1150</v>
      </c>
      <c r="AS278" s="12" t="s">
        <v>5925</v>
      </c>
      <c r="AT278" s="12"/>
      <c r="AU278" s="12" t="s">
        <v>324</v>
      </c>
      <c r="AV278" s="12" t="s">
        <v>5731</v>
      </c>
      <c r="AW278" s="12"/>
      <c r="AX278" s="12">
        <v>431</v>
      </c>
      <c r="AY278" s="12">
        <v>418</v>
      </c>
      <c r="AZ278" s="12">
        <v>431</v>
      </c>
      <c r="BA278" s="12" t="s">
        <v>1151</v>
      </c>
      <c r="BB278" s="12" t="s">
        <v>6930</v>
      </c>
      <c r="BC278" s="12" t="s">
        <v>6931</v>
      </c>
      <c r="BD278" s="12"/>
      <c r="BE278" s="12" t="s">
        <v>2291</v>
      </c>
      <c r="BF278" s="12"/>
      <c r="BG278" s="12"/>
      <c r="BH278" s="12"/>
      <c r="BI278" s="12" t="s">
        <v>2774</v>
      </c>
      <c r="BJ278" s="12"/>
      <c r="BK278" s="12" t="s">
        <v>6932</v>
      </c>
      <c r="BL278" s="12" t="s">
        <v>2292</v>
      </c>
      <c r="BM278" s="12" t="s">
        <v>2292</v>
      </c>
      <c r="BN278" s="12" t="s">
        <v>2292</v>
      </c>
      <c r="BO278" s="12" t="s">
        <v>2292</v>
      </c>
      <c r="BP278" s="12" t="s">
        <v>2775</v>
      </c>
      <c r="BQ278" s="12"/>
      <c r="BR278" s="12"/>
      <c r="BS278" s="12"/>
      <c r="BT278" s="12">
        <v>97022943140</v>
      </c>
      <c r="BU278" s="12" t="s">
        <v>326</v>
      </c>
      <c r="BV278" s="12"/>
      <c r="BW278" s="12" t="s">
        <v>1152</v>
      </c>
      <c r="BX278" s="12"/>
      <c r="BY278" s="13" t="s">
        <v>313</v>
      </c>
      <c r="BZ278" s="13" t="s">
        <v>6170</v>
      </c>
      <c r="CA278" s="13" t="s">
        <v>6170</v>
      </c>
      <c r="CB278" s="13" t="s">
        <v>6201</v>
      </c>
      <c r="CC278" s="13"/>
      <c r="CD278" s="13" t="s">
        <v>6198</v>
      </c>
      <c r="CE278" s="13" t="s">
        <v>6175</v>
      </c>
      <c r="CF278" s="13"/>
    </row>
    <row r="279" spans="1:84" ht="18.600000000000001" customHeight="1" x14ac:dyDescent="0.25">
      <c r="A279" s="60" t="s">
        <v>98</v>
      </c>
      <c r="B279" s="2" t="s">
        <v>1153</v>
      </c>
      <c r="C279" s="4" t="s">
        <v>3888</v>
      </c>
      <c r="D279" s="12" t="s">
        <v>4327</v>
      </c>
      <c r="E279" s="12" t="s">
        <v>4328</v>
      </c>
      <c r="F279" s="12" t="s">
        <v>4329</v>
      </c>
      <c r="G279" s="25">
        <v>54109</v>
      </c>
      <c r="H279" s="25">
        <v>45657</v>
      </c>
      <c r="I279" s="25">
        <v>4074</v>
      </c>
      <c r="J279" s="25">
        <v>1416</v>
      </c>
      <c r="K279" s="25">
        <v>85</v>
      </c>
      <c r="L279" s="25">
        <v>3</v>
      </c>
      <c r="M279" s="25">
        <v>88</v>
      </c>
      <c r="N279" s="31">
        <v>0.97</v>
      </c>
      <c r="O279" s="25">
        <v>1010</v>
      </c>
      <c r="P279" s="25">
        <v>0</v>
      </c>
      <c r="Q279" s="25">
        <v>725</v>
      </c>
      <c r="R279" s="25">
        <v>207</v>
      </c>
      <c r="S279" s="25">
        <v>1405</v>
      </c>
      <c r="T279" s="25">
        <v>413</v>
      </c>
      <c r="U279" s="61">
        <v>211</v>
      </c>
      <c r="V279" s="58">
        <v>5.4000000000000003E-3</v>
      </c>
      <c r="W279" s="33">
        <v>9.1999999999999998E-3</v>
      </c>
      <c r="X279" s="33">
        <v>3.5999999999999999E-3</v>
      </c>
      <c r="Y279" s="33">
        <v>1.6999999999999999E-3</v>
      </c>
      <c r="Z279" s="33">
        <v>5.0000000000000001E-4</v>
      </c>
      <c r="AA279" s="12" t="s">
        <v>3926</v>
      </c>
      <c r="AB279" s="25">
        <v>305</v>
      </c>
      <c r="AC279" s="25">
        <v>162</v>
      </c>
      <c r="AD279" s="25">
        <v>6</v>
      </c>
      <c r="AE279" s="25">
        <v>135</v>
      </c>
      <c r="AF279" s="25">
        <v>1</v>
      </c>
      <c r="AG279" s="25">
        <v>1</v>
      </c>
      <c r="AH279" s="25">
        <v>0</v>
      </c>
      <c r="AI279" s="12">
        <v>0.69</v>
      </c>
      <c r="AJ279" s="25">
        <v>33004</v>
      </c>
      <c r="AK279" s="25">
        <v>5144</v>
      </c>
      <c r="AL279" s="33">
        <v>0.18459999999999999</v>
      </c>
      <c r="AM279" s="4" t="s">
        <v>3888</v>
      </c>
      <c r="AN279" s="12" t="s">
        <v>4328</v>
      </c>
      <c r="AO279" s="12" t="s">
        <v>4328</v>
      </c>
      <c r="AP279" s="12" t="str">
        <f>"665910256760422"</f>
        <v>665910256760422</v>
      </c>
      <c r="AQ279" s="12" t="s">
        <v>4327</v>
      </c>
      <c r="AR279" s="12" t="s">
        <v>4622</v>
      </c>
      <c r="AS279" s="12" t="s">
        <v>4623</v>
      </c>
      <c r="AT279" s="12"/>
      <c r="AU279" s="12" t="s">
        <v>324</v>
      </c>
      <c r="AV279" s="12"/>
      <c r="AW279" s="12"/>
      <c r="AX279" s="12">
        <v>0</v>
      </c>
      <c r="AY279" s="12">
        <v>1127</v>
      </c>
      <c r="AZ279" s="12">
        <v>0</v>
      </c>
      <c r="BA279" s="12" t="s">
        <v>4624</v>
      </c>
      <c r="BB279" s="12"/>
      <c r="BC279" s="12" t="s">
        <v>7169</v>
      </c>
      <c r="BD279" s="12"/>
      <c r="BE279" s="12" t="s">
        <v>2291</v>
      </c>
      <c r="BF279" s="12"/>
      <c r="BG279" s="12"/>
      <c r="BH279" s="12"/>
      <c r="BI279" s="12" t="s">
        <v>4625</v>
      </c>
      <c r="BJ279" s="12"/>
      <c r="BK279" s="12"/>
      <c r="BL279" s="12" t="s">
        <v>2292</v>
      </c>
      <c r="BM279" s="12" t="s">
        <v>2292</v>
      </c>
      <c r="BN279" s="12" t="s">
        <v>2292</v>
      </c>
      <c r="BO279" s="12" t="s">
        <v>2291</v>
      </c>
      <c r="BP279" s="12"/>
      <c r="BQ279" s="12"/>
      <c r="BR279" s="12"/>
      <c r="BS279" s="12"/>
      <c r="BT279" s="12"/>
      <c r="BU279" s="12"/>
      <c r="BV279" s="12"/>
      <c r="BW279" s="12"/>
      <c r="BX279" s="12"/>
      <c r="BY279" s="13" t="s">
        <v>313</v>
      </c>
      <c r="BZ279" s="13" t="s">
        <v>6172</v>
      </c>
      <c r="CA279" s="13" t="s">
        <v>6170</v>
      </c>
      <c r="CB279" s="13" t="s">
        <v>6197</v>
      </c>
      <c r="CC279" s="13"/>
      <c r="CD279" s="13" t="s">
        <v>6198</v>
      </c>
      <c r="CE279" s="13"/>
      <c r="CF279" s="13"/>
    </row>
    <row r="280" spans="1:84" ht="18.600000000000001" customHeight="1" x14ac:dyDescent="0.25">
      <c r="A280" s="60" t="s">
        <v>98</v>
      </c>
      <c r="B280" s="2" t="s">
        <v>6100</v>
      </c>
      <c r="C280" s="10" t="s">
        <v>6099</v>
      </c>
      <c r="D280" s="12" t="s">
        <v>6145</v>
      </c>
      <c r="E280" s="12" t="s">
        <v>6144</v>
      </c>
      <c r="F280" s="3" t="s">
        <v>6162</v>
      </c>
      <c r="G280" s="25">
        <v>330</v>
      </c>
      <c r="H280" s="25">
        <v>263</v>
      </c>
      <c r="I280" s="25">
        <v>25</v>
      </c>
      <c r="J280" s="25">
        <v>24</v>
      </c>
      <c r="K280" s="25">
        <v>0</v>
      </c>
      <c r="L280" s="25">
        <v>0</v>
      </c>
      <c r="M280" s="25">
        <v>0</v>
      </c>
      <c r="N280" s="31">
        <v>0</v>
      </c>
      <c r="O280" s="25">
        <v>0</v>
      </c>
      <c r="P280" s="25">
        <v>0</v>
      </c>
      <c r="Q280" s="25">
        <v>16</v>
      </c>
      <c r="R280" s="25">
        <v>1</v>
      </c>
      <c r="S280" s="25">
        <v>1</v>
      </c>
      <c r="T280" s="25">
        <v>0</v>
      </c>
      <c r="U280" s="61">
        <v>0</v>
      </c>
      <c r="V280" s="58">
        <v>0.1988</v>
      </c>
      <c r="W280" s="33">
        <v>0.18559999999999999</v>
      </c>
      <c r="X280" s="12" t="s">
        <v>3926</v>
      </c>
      <c r="Y280" s="12" t="s">
        <v>3926</v>
      </c>
      <c r="Z280" s="12" t="s">
        <v>3926</v>
      </c>
      <c r="AA280" s="12" t="s">
        <v>3926</v>
      </c>
      <c r="AB280" s="25">
        <v>18</v>
      </c>
      <c r="AC280" s="25">
        <v>18</v>
      </c>
      <c r="AD280" s="25">
        <v>0</v>
      </c>
      <c r="AE280" s="25">
        <v>0</v>
      </c>
      <c r="AF280" s="25">
        <v>0</v>
      </c>
      <c r="AG280" s="25">
        <v>0</v>
      </c>
      <c r="AH280" s="25">
        <v>0</v>
      </c>
      <c r="AI280" s="12">
        <v>0.04</v>
      </c>
      <c r="AJ280" s="25">
        <v>174</v>
      </c>
      <c r="AK280" s="25">
        <v>0</v>
      </c>
      <c r="AL280" s="31">
        <v>0</v>
      </c>
      <c r="AM280" s="10" t="s">
        <v>6099</v>
      </c>
      <c r="AN280" s="12" t="s">
        <v>6144</v>
      </c>
      <c r="AO280" s="12" t="s">
        <v>6144</v>
      </c>
      <c r="AP280" s="12" t="str">
        <f>"159985111389242"</f>
        <v>159985111389242</v>
      </c>
      <c r="AQ280" s="12" t="s">
        <v>6145</v>
      </c>
      <c r="AR280" s="12" t="s">
        <v>6146</v>
      </c>
      <c r="AS280" s="12" t="s">
        <v>6147</v>
      </c>
      <c r="AT280" s="12" t="s">
        <v>6148</v>
      </c>
      <c r="AU280" s="12" t="s">
        <v>309</v>
      </c>
      <c r="AV280" s="12" t="s">
        <v>5802</v>
      </c>
      <c r="AW280" s="12"/>
      <c r="AX280" s="12">
        <v>0</v>
      </c>
      <c r="AY280" s="12">
        <v>62</v>
      </c>
      <c r="AZ280" s="12">
        <v>0</v>
      </c>
      <c r="BA280" s="12" t="s">
        <v>6149</v>
      </c>
      <c r="BB280" s="12" t="s">
        <v>7195</v>
      </c>
      <c r="BC280" s="12" t="s">
        <v>7196</v>
      </c>
      <c r="BD280" s="12" t="s">
        <v>6150</v>
      </c>
      <c r="BE280" s="12" t="s">
        <v>2291</v>
      </c>
      <c r="BF280" s="12"/>
      <c r="BG280" s="12"/>
      <c r="BH280" s="12"/>
      <c r="BI280" s="12" t="s">
        <v>6151</v>
      </c>
      <c r="BJ280" s="12"/>
      <c r="BK280" s="12"/>
      <c r="BL280" s="12" t="s">
        <v>2292</v>
      </c>
      <c r="BM280" s="12" t="s">
        <v>2292</v>
      </c>
      <c r="BN280" s="12" t="s">
        <v>2292</v>
      </c>
      <c r="BO280" s="12" t="s">
        <v>2292</v>
      </c>
      <c r="BP280" s="12"/>
      <c r="BQ280" s="12"/>
      <c r="BR280" s="12"/>
      <c r="BS280" s="12"/>
      <c r="BT280" s="12" t="s">
        <v>6152</v>
      </c>
      <c r="BU280" s="12" t="s">
        <v>326</v>
      </c>
      <c r="BV280" s="12"/>
      <c r="BW280" s="12" t="s">
        <v>6153</v>
      </c>
      <c r="BX280" s="12"/>
      <c r="BY280" s="13" t="s">
        <v>313</v>
      </c>
      <c r="BZ280" s="13" t="s">
        <v>6170</v>
      </c>
      <c r="CA280" s="13" t="s">
        <v>6170</v>
      </c>
      <c r="CB280" s="13" t="s">
        <v>6200</v>
      </c>
      <c r="CC280" s="13"/>
      <c r="CD280" s="13" t="s">
        <v>6198</v>
      </c>
      <c r="CE280" s="13"/>
      <c r="CF280" s="13"/>
    </row>
    <row r="281" spans="1:84" ht="18.600000000000001" customHeight="1" x14ac:dyDescent="0.25">
      <c r="A281" s="60" t="s">
        <v>99</v>
      </c>
      <c r="B281" s="2" t="s">
        <v>3332</v>
      </c>
      <c r="C281" s="4" t="s">
        <v>3339</v>
      </c>
      <c r="D281" s="12" t="s">
        <v>3470</v>
      </c>
      <c r="E281" s="12" t="s">
        <v>3469</v>
      </c>
      <c r="F281" s="12" t="s">
        <v>4341</v>
      </c>
      <c r="G281" s="25">
        <v>122175</v>
      </c>
      <c r="H281" s="25">
        <v>99602</v>
      </c>
      <c r="I281" s="25">
        <v>7776</v>
      </c>
      <c r="J281" s="25">
        <v>4269</v>
      </c>
      <c r="K281" s="25">
        <v>341673</v>
      </c>
      <c r="L281" s="25">
        <v>65601</v>
      </c>
      <c r="M281" s="25">
        <v>407274</v>
      </c>
      <c r="N281" s="31">
        <v>0.84</v>
      </c>
      <c r="O281" s="25">
        <v>255704</v>
      </c>
      <c r="P281" s="25">
        <v>0</v>
      </c>
      <c r="Q281" s="25">
        <v>6650</v>
      </c>
      <c r="R281" s="25">
        <v>1187</v>
      </c>
      <c r="S281" s="25">
        <v>2188</v>
      </c>
      <c r="T281" s="25">
        <v>356</v>
      </c>
      <c r="U281" s="61">
        <v>145</v>
      </c>
      <c r="V281" s="58">
        <v>1.2999999999999999E-3</v>
      </c>
      <c r="W281" s="33">
        <v>1.6999999999999999E-3</v>
      </c>
      <c r="X281" s="33">
        <v>6.9999999999999999E-4</v>
      </c>
      <c r="Y281" s="33">
        <v>2.0999999999999999E-3</v>
      </c>
      <c r="Z281" s="33">
        <v>6.9999999999999999E-4</v>
      </c>
      <c r="AA281" s="12" t="s">
        <v>3926</v>
      </c>
      <c r="AB281" s="25">
        <v>23</v>
      </c>
      <c r="AC281" s="25">
        <v>11</v>
      </c>
      <c r="AD281" s="25">
        <v>2</v>
      </c>
      <c r="AE281" s="25">
        <v>1</v>
      </c>
      <c r="AF281" s="25">
        <v>5</v>
      </c>
      <c r="AG281" s="25">
        <v>4</v>
      </c>
      <c r="AH281" s="25">
        <v>0</v>
      </c>
      <c r="AI281" s="12">
        <v>0.05</v>
      </c>
      <c r="AJ281" s="25">
        <v>4337750</v>
      </c>
      <c r="AK281" s="25">
        <v>240265</v>
      </c>
      <c r="AL281" s="33">
        <v>5.8599999999999999E-2</v>
      </c>
      <c r="AM281" s="4" t="s">
        <v>3339</v>
      </c>
      <c r="AN281" s="12" t="s">
        <v>3469</v>
      </c>
      <c r="AO281" s="12" t="s">
        <v>3469</v>
      </c>
      <c r="AP281" s="12" t="str">
        <f>"373183260424"</f>
        <v>373183260424</v>
      </c>
      <c r="AQ281" s="12" t="s">
        <v>3470</v>
      </c>
      <c r="AR281" s="12" t="s">
        <v>3471</v>
      </c>
      <c r="AS281" s="12" t="s">
        <v>3472</v>
      </c>
      <c r="AT281" s="12"/>
      <c r="AU281" s="12" t="s">
        <v>309</v>
      </c>
      <c r="AV281" s="12"/>
      <c r="AW281" s="12"/>
      <c r="AX281" s="12">
        <v>0</v>
      </c>
      <c r="AY281" s="12">
        <v>15052</v>
      </c>
      <c r="AZ281" s="12">
        <v>0</v>
      </c>
      <c r="BA281" s="12" t="s">
        <v>3473</v>
      </c>
      <c r="BB281" s="12"/>
      <c r="BC281" s="12" t="s">
        <v>7198</v>
      </c>
      <c r="BD281" s="12"/>
      <c r="BE281" s="12" t="s">
        <v>2291</v>
      </c>
      <c r="BF281" s="12"/>
      <c r="BG281" s="12"/>
      <c r="BH281" s="12"/>
      <c r="BI281" s="12"/>
      <c r="BJ281" s="12"/>
      <c r="BK281" s="12"/>
      <c r="BL281" s="12" t="s">
        <v>2292</v>
      </c>
      <c r="BM281" s="12" t="s">
        <v>2292</v>
      </c>
      <c r="BN281" s="12" t="s">
        <v>2292</v>
      </c>
      <c r="BO281" s="12" t="s">
        <v>2291</v>
      </c>
      <c r="BP281" s="12"/>
      <c r="BQ281" s="12"/>
      <c r="BR281" s="12"/>
      <c r="BS281" s="12"/>
      <c r="BT281" s="12"/>
      <c r="BU281" s="12"/>
      <c r="BV281" s="12"/>
      <c r="BW281" s="12"/>
      <c r="BX281" s="12"/>
      <c r="BY281" s="13" t="s">
        <v>313</v>
      </c>
      <c r="BZ281" s="13" t="s">
        <v>6171</v>
      </c>
      <c r="CA281" s="13"/>
      <c r="CB281" s="13"/>
      <c r="CC281" s="13"/>
      <c r="CD281" s="13"/>
      <c r="CE281" s="13"/>
      <c r="CF281" s="13"/>
    </row>
    <row r="282" spans="1:84" ht="18.600000000000001" customHeight="1" x14ac:dyDescent="0.25">
      <c r="A282" s="60" t="s">
        <v>99</v>
      </c>
      <c r="B282" s="2" t="s">
        <v>314</v>
      </c>
      <c r="C282" s="3" t="s">
        <v>6088</v>
      </c>
      <c r="D282" s="12" t="s">
        <v>3648</v>
      </c>
      <c r="E282" s="12" t="s">
        <v>5670</v>
      </c>
      <c r="F282" s="12" t="s">
        <v>4307</v>
      </c>
      <c r="G282" s="25">
        <v>11039134</v>
      </c>
      <c r="H282" s="25">
        <v>5833970</v>
      </c>
      <c r="I282" s="25">
        <v>1292694</v>
      </c>
      <c r="J282" s="25">
        <v>2009239</v>
      </c>
      <c r="K282" s="25">
        <v>78036763</v>
      </c>
      <c r="L282" s="25">
        <v>81943074</v>
      </c>
      <c r="M282" s="25">
        <v>159979837</v>
      </c>
      <c r="N282" s="31">
        <v>0.49</v>
      </c>
      <c r="O282" s="25">
        <v>5241082</v>
      </c>
      <c r="P282" s="25">
        <v>47812520</v>
      </c>
      <c r="Q282" s="25">
        <v>1595545</v>
      </c>
      <c r="R282" s="25">
        <v>121334</v>
      </c>
      <c r="S282" s="25">
        <v>85021</v>
      </c>
      <c r="T282" s="25">
        <v>49394</v>
      </c>
      <c r="U282" s="61">
        <v>46684</v>
      </c>
      <c r="V282" s="58">
        <v>3.5000000000000001E-3</v>
      </c>
      <c r="W282" s="33">
        <v>1.6000000000000001E-3</v>
      </c>
      <c r="X282" s="33">
        <v>2.9999999999999997E-4</v>
      </c>
      <c r="Y282" s="33">
        <v>5.1999999999999998E-3</v>
      </c>
      <c r="Z282" s="33">
        <v>5.0000000000000001E-3</v>
      </c>
      <c r="AA282" s="33">
        <v>1.1000000000000001E-3</v>
      </c>
      <c r="AB282" s="25">
        <v>3091</v>
      </c>
      <c r="AC282" s="25">
        <v>847</v>
      </c>
      <c r="AD282" s="25">
        <v>4</v>
      </c>
      <c r="AE282" s="25">
        <v>6</v>
      </c>
      <c r="AF282" s="25">
        <v>1853</v>
      </c>
      <c r="AG282" s="25">
        <v>375</v>
      </c>
      <c r="AH282" s="25">
        <v>6</v>
      </c>
      <c r="AI282" s="12">
        <v>7.04</v>
      </c>
      <c r="AJ282" s="25">
        <v>1261221</v>
      </c>
      <c r="AK282" s="25">
        <v>604132</v>
      </c>
      <c r="AL282" s="33">
        <v>0.9194</v>
      </c>
      <c r="AM282" s="3" t="s">
        <v>6088</v>
      </c>
      <c r="AN282" s="12" t="s">
        <v>5670</v>
      </c>
      <c r="AO282" s="12" t="s">
        <v>5670</v>
      </c>
      <c r="AP282" s="12" t="str">
        <f>"154701207892882"</f>
        <v>154701207892882</v>
      </c>
      <c r="AQ282" s="12" t="s">
        <v>3648</v>
      </c>
      <c r="AR282" s="12" t="s">
        <v>6123</v>
      </c>
      <c r="AS282" s="12" t="s">
        <v>6124</v>
      </c>
      <c r="AT282" s="12"/>
      <c r="AU282" s="12" t="s">
        <v>324</v>
      </c>
      <c r="AV282" s="12"/>
      <c r="AW282" s="12"/>
      <c r="AX282" s="12">
        <v>0</v>
      </c>
      <c r="AY282" s="12">
        <v>81775</v>
      </c>
      <c r="AZ282" s="12">
        <v>0</v>
      </c>
      <c r="BA282" s="12" t="s">
        <v>6125</v>
      </c>
      <c r="BB282" s="12" t="s">
        <v>7021</v>
      </c>
      <c r="BC282" s="12" t="s">
        <v>7022</v>
      </c>
      <c r="BD282" s="12"/>
      <c r="BE282" s="12" t="s">
        <v>2291</v>
      </c>
      <c r="BF282" s="12"/>
      <c r="BG282" s="12"/>
      <c r="BH282" s="12"/>
      <c r="BI282" s="12" t="s">
        <v>6124</v>
      </c>
      <c r="BJ282" s="12"/>
      <c r="BK282" s="12"/>
      <c r="BL282" s="12" t="s">
        <v>2292</v>
      </c>
      <c r="BM282" s="12" t="s">
        <v>2292</v>
      </c>
      <c r="BN282" s="12" t="s">
        <v>2292</v>
      </c>
      <c r="BO282" s="12" t="s">
        <v>2291</v>
      </c>
      <c r="BP282" s="12"/>
      <c r="BQ282" s="12"/>
      <c r="BR282" s="12"/>
      <c r="BS282" s="12"/>
      <c r="BT282" s="12"/>
      <c r="BU282" s="12"/>
      <c r="BV282" s="12"/>
      <c r="BW282" s="12" t="s">
        <v>6126</v>
      </c>
      <c r="BX282" s="12"/>
      <c r="BY282" s="13" t="s">
        <v>313</v>
      </c>
      <c r="BZ282" s="13" t="s">
        <v>6170</v>
      </c>
      <c r="CA282" s="13" t="s">
        <v>6170</v>
      </c>
      <c r="CB282" s="13" t="s">
        <v>312</v>
      </c>
      <c r="CC282" s="13"/>
      <c r="CD282" s="13" t="s">
        <v>6198</v>
      </c>
      <c r="CE282" s="13"/>
      <c r="CF282" s="13"/>
    </row>
    <row r="283" spans="1:84" ht="18.600000000000001" customHeight="1" x14ac:dyDescent="0.25">
      <c r="A283" s="60" t="s">
        <v>99</v>
      </c>
      <c r="B283" s="2" t="s">
        <v>315</v>
      </c>
      <c r="C283" s="3" t="s">
        <v>2551</v>
      </c>
      <c r="D283" s="12" t="s">
        <v>1155</v>
      </c>
      <c r="E283" s="12" t="s">
        <v>1154</v>
      </c>
      <c r="F283" s="12" t="s">
        <v>4089</v>
      </c>
      <c r="G283" s="25">
        <v>0</v>
      </c>
      <c r="H283" s="25">
        <v>0</v>
      </c>
      <c r="I283" s="25">
        <v>0</v>
      </c>
      <c r="J283" s="25">
        <v>0</v>
      </c>
      <c r="K283" s="25">
        <v>0</v>
      </c>
      <c r="L283" s="25">
        <v>0</v>
      </c>
      <c r="M283" s="25">
        <v>0</v>
      </c>
      <c r="N283" s="31">
        <v>0</v>
      </c>
      <c r="O283" s="25">
        <v>0</v>
      </c>
      <c r="P283" s="25">
        <v>0</v>
      </c>
      <c r="Q283" s="25">
        <v>0</v>
      </c>
      <c r="R283" s="25">
        <v>0</v>
      </c>
      <c r="S283" s="25">
        <v>0</v>
      </c>
      <c r="T283" s="25">
        <v>0</v>
      </c>
      <c r="U283" s="61">
        <v>0</v>
      </c>
      <c r="V283" s="59"/>
      <c r="W283" s="12" t="s">
        <v>3926</v>
      </c>
      <c r="X283" s="12" t="s">
        <v>3926</v>
      </c>
      <c r="Y283" s="12" t="s">
        <v>3926</v>
      </c>
      <c r="Z283" s="12" t="s">
        <v>3926</v>
      </c>
      <c r="AA283" s="12" t="s">
        <v>3926</v>
      </c>
      <c r="AB283" s="25" t="s">
        <v>3927</v>
      </c>
      <c r="AC283" s="25">
        <v>0</v>
      </c>
      <c r="AD283" s="25">
        <v>0</v>
      </c>
      <c r="AE283" s="25">
        <v>0</v>
      </c>
      <c r="AF283" s="25">
        <v>0</v>
      </c>
      <c r="AG283" s="25">
        <v>0</v>
      </c>
      <c r="AH283" s="25">
        <v>0</v>
      </c>
      <c r="AI283" s="12">
        <v>0</v>
      </c>
      <c r="AJ283" s="25">
        <v>1175898</v>
      </c>
      <c r="AK283" s="25">
        <v>-3656</v>
      </c>
      <c r="AL283" s="33">
        <v>-3.0999999999999999E-3</v>
      </c>
      <c r="AM283" s="3" t="s">
        <v>2551</v>
      </c>
      <c r="AN283" s="12" t="s">
        <v>1154</v>
      </c>
      <c r="AO283" s="12" t="s">
        <v>1154</v>
      </c>
      <c r="AP283" s="12" t="str">
        <f>"140660295978242"</f>
        <v>140660295978242</v>
      </c>
      <c r="AQ283" s="12" t="s">
        <v>1155</v>
      </c>
      <c r="AR283" s="12" t="s">
        <v>1156</v>
      </c>
      <c r="AS283" s="12" t="s">
        <v>1157</v>
      </c>
      <c r="AT283" s="12"/>
      <c r="AU283" s="12" t="s">
        <v>324</v>
      </c>
      <c r="AV283" s="12" t="s">
        <v>5731</v>
      </c>
      <c r="AW283" s="12"/>
      <c r="AX283" s="12">
        <v>3756</v>
      </c>
      <c r="AY283" s="12">
        <v>977</v>
      </c>
      <c r="AZ283" s="12">
        <v>3756</v>
      </c>
      <c r="BA283" s="12" t="s">
        <v>1158</v>
      </c>
      <c r="BB283" s="12" t="s">
        <v>6623</v>
      </c>
      <c r="BC283" s="12" t="s">
        <v>6624</v>
      </c>
      <c r="BD283" s="12"/>
      <c r="BE283" s="12" t="s">
        <v>2291</v>
      </c>
      <c r="BF283" s="12"/>
      <c r="BG283" s="12"/>
      <c r="BH283" s="12"/>
      <c r="BI283" s="12" t="s">
        <v>3579</v>
      </c>
      <c r="BJ283" s="12"/>
      <c r="BK283" s="12"/>
      <c r="BL283" s="12" t="s">
        <v>2292</v>
      </c>
      <c r="BM283" s="12" t="s">
        <v>2292</v>
      </c>
      <c r="BN283" s="12" t="s">
        <v>2292</v>
      </c>
      <c r="BO283" s="12" t="s">
        <v>2291</v>
      </c>
      <c r="BP283" s="12"/>
      <c r="BQ283" s="12"/>
      <c r="BR283" s="12"/>
      <c r="BS283" s="12"/>
      <c r="BT283" s="12" t="s">
        <v>1159</v>
      </c>
      <c r="BU283" s="12" t="s">
        <v>326</v>
      </c>
      <c r="BV283" s="12"/>
      <c r="BW283" s="12" t="s">
        <v>3580</v>
      </c>
      <c r="BX283" s="12"/>
      <c r="BY283" s="18" t="s">
        <v>344</v>
      </c>
      <c r="BZ283" s="18" t="s">
        <v>6170</v>
      </c>
      <c r="CA283" s="13" t="s">
        <v>6170</v>
      </c>
      <c r="CB283" s="18" t="s">
        <v>312</v>
      </c>
      <c r="CC283" s="18"/>
      <c r="CD283" s="13" t="s">
        <v>6198</v>
      </c>
      <c r="CE283" s="18"/>
      <c r="CF283" s="18"/>
    </row>
    <row r="284" spans="1:84" ht="18.600000000000001" customHeight="1" x14ac:dyDescent="0.25">
      <c r="A284" s="60" t="s">
        <v>99</v>
      </c>
      <c r="B284" s="2" t="s">
        <v>5038</v>
      </c>
      <c r="C284" s="3" t="s">
        <v>5039</v>
      </c>
      <c r="D284" s="12" t="s">
        <v>5041</v>
      </c>
      <c r="E284" s="12" t="s">
        <v>5040</v>
      </c>
      <c r="F284" s="12" t="s">
        <v>5086</v>
      </c>
      <c r="G284" s="25">
        <v>4297425</v>
      </c>
      <c r="H284" s="25">
        <v>3025297</v>
      </c>
      <c r="I284" s="25">
        <v>280774</v>
      </c>
      <c r="J284" s="25">
        <v>450765</v>
      </c>
      <c r="K284" s="25">
        <v>16783357</v>
      </c>
      <c r="L284" s="25">
        <v>9784369</v>
      </c>
      <c r="M284" s="25">
        <v>26567726</v>
      </c>
      <c r="N284" s="31">
        <v>0.63</v>
      </c>
      <c r="O284" s="25">
        <v>508803</v>
      </c>
      <c r="P284" s="25">
        <v>6006579</v>
      </c>
      <c r="Q284" s="25">
        <v>457145</v>
      </c>
      <c r="R284" s="25">
        <v>41899</v>
      </c>
      <c r="S284" s="25">
        <v>19550</v>
      </c>
      <c r="T284" s="25">
        <v>6090</v>
      </c>
      <c r="U284" s="61">
        <v>15020</v>
      </c>
      <c r="V284" s="58">
        <v>4.3E-3</v>
      </c>
      <c r="W284" s="33">
        <v>3.8999999999999998E-3</v>
      </c>
      <c r="X284" s="33">
        <v>3.0999999999999999E-3</v>
      </c>
      <c r="Y284" s="33">
        <v>1.1999999999999999E-3</v>
      </c>
      <c r="Z284" s="33">
        <v>5.3E-3</v>
      </c>
      <c r="AA284" s="33">
        <v>6.9999999999999999E-4</v>
      </c>
      <c r="AB284" s="25">
        <v>424</v>
      </c>
      <c r="AC284" s="25">
        <v>175</v>
      </c>
      <c r="AD284" s="25">
        <v>24</v>
      </c>
      <c r="AE284" s="25">
        <v>3</v>
      </c>
      <c r="AF284" s="25">
        <v>201</v>
      </c>
      <c r="AG284" s="25">
        <v>16</v>
      </c>
      <c r="AH284" s="25">
        <v>5</v>
      </c>
      <c r="AI284" s="12">
        <v>0.97</v>
      </c>
      <c r="AJ284" s="25">
        <v>2427421</v>
      </c>
      <c r="AK284" s="25">
        <v>203622</v>
      </c>
      <c r="AL284" s="33">
        <v>9.1600000000000001E-2</v>
      </c>
      <c r="AM284" s="3" t="s">
        <v>5039</v>
      </c>
      <c r="AN284" s="12" t="s">
        <v>5040</v>
      </c>
      <c r="AO284" s="12" t="s">
        <v>5040</v>
      </c>
      <c r="AP284" s="12" t="str">
        <f>"368498793242908"</f>
        <v>368498793242908</v>
      </c>
      <c r="AQ284" s="12" t="s">
        <v>5041</v>
      </c>
      <c r="AR284" s="12" t="s">
        <v>3471</v>
      </c>
      <c r="AS284" s="12" t="s">
        <v>5225</v>
      </c>
      <c r="AT284" s="12" t="s">
        <v>5226</v>
      </c>
      <c r="AU284" s="12" t="s">
        <v>319</v>
      </c>
      <c r="AV284" s="12"/>
      <c r="AW284" s="12"/>
      <c r="AX284" s="12">
        <v>0</v>
      </c>
      <c r="AY284" s="12">
        <v>30038</v>
      </c>
      <c r="AZ284" s="12">
        <v>0</v>
      </c>
      <c r="BA284" s="12" t="s">
        <v>5227</v>
      </c>
      <c r="BB284" s="12"/>
      <c r="BC284" s="12" t="s">
        <v>6274</v>
      </c>
      <c r="BD284" s="12"/>
      <c r="BE284" s="12" t="s">
        <v>2291</v>
      </c>
      <c r="BF284" s="12"/>
      <c r="BG284" s="12"/>
      <c r="BH284" s="12"/>
      <c r="BI284" s="12"/>
      <c r="BJ284" s="12"/>
      <c r="BK284" s="12"/>
      <c r="BL284" s="12" t="s">
        <v>2292</v>
      </c>
      <c r="BM284" s="12" t="s">
        <v>2292</v>
      </c>
      <c r="BN284" s="12" t="s">
        <v>2292</v>
      </c>
      <c r="BO284" s="12" t="s">
        <v>2291</v>
      </c>
      <c r="BP284" s="12"/>
      <c r="BQ284" s="12"/>
      <c r="BR284" s="12"/>
      <c r="BS284" s="12"/>
      <c r="BT284" s="12"/>
      <c r="BU284" s="12"/>
      <c r="BV284" s="12"/>
      <c r="BW284" s="12"/>
      <c r="BX284" s="12"/>
      <c r="BY284" s="13" t="s">
        <v>313</v>
      </c>
      <c r="BZ284" s="13" t="s">
        <v>6171</v>
      </c>
      <c r="CA284" s="13" t="s">
        <v>6170</v>
      </c>
      <c r="CB284" s="13" t="s">
        <v>6201</v>
      </c>
      <c r="CC284" s="13"/>
      <c r="CD284" s="13" t="s">
        <v>6198</v>
      </c>
      <c r="CE284" s="13"/>
      <c r="CF284" s="13"/>
    </row>
    <row r="285" spans="1:84" ht="18.600000000000001" customHeight="1" x14ac:dyDescent="0.25">
      <c r="A285" s="60" t="s">
        <v>99</v>
      </c>
      <c r="B285" s="2" t="s">
        <v>335</v>
      </c>
      <c r="C285" s="3" t="s">
        <v>2422</v>
      </c>
      <c r="D285" s="12" t="s">
        <v>1161</v>
      </c>
      <c r="E285" s="12" t="s">
        <v>1160</v>
      </c>
      <c r="F285" s="12" t="s">
        <v>4008</v>
      </c>
      <c r="G285" s="25">
        <v>468288</v>
      </c>
      <c r="H285" s="25">
        <v>274465</v>
      </c>
      <c r="I285" s="25">
        <v>37755</v>
      </c>
      <c r="J285" s="25">
        <v>130629</v>
      </c>
      <c r="K285" s="25">
        <v>134186</v>
      </c>
      <c r="L285" s="25">
        <v>105086</v>
      </c>
      <c r="M285" s="25">
        <v>239272</v>
      </c>
      <c r="N285" s="31">
        <v>0.56000000000000005</v>
      </c>
      <c r="O285" s="25">
        <v>285708</v>
      </c>
      <c r="P285" s="25">
        <v>22217</v>
      </c>
      <c r="Q285" s="25">
        <v>11530</v>
      </c>
      <c r="R285" s="25">
        <v>6827</v>
      </c>
      <c r="S285" s="25">
        <v>1976</v>
      </c>
      <c r="T285" s="25">
        <v>1767</v>
      </c>
      <c r="U285" s="61">
        <v>3317</v>
      </c>
      <c r="V285" s="58">
        <v>2.0000000000000001E-4</v>
      </c>
      <c r="W285" s="33">
        <v>4.0000000000000002E-4</v>
      </c>
      <c r="X285" s="33">
        <v>1E-4</v>
      </c>
      <c r="Y285" s="33">
        <v>2.0000000000000001E-4</v>
      </c>
      <c r="Z285" s="33">
        <v>4.0000000000000002E-4</v>
      </c>
      <c r="AA285" s="33">
        <v>0</v>
      </c>
      <c r="AB285" s="25">
        <v>5456</v>
      </c>
      <c r="AC285" s="25">
        <v>2288</v>
      </c>
      <c r="AD285" s="25">
        <v>2707</v>
      </c>
      <c r="AE285" s="25">
        <v>92</v>
      </c>
      <c r="AF285" s="25">
        <v>61</v>
      </c>
      <c r="AG285" s="25">
        <v>224</v>
      </c>
      <c r="AH285" s="25">
        <v>84</v>
      </c>
      <c r="AI285" s="12">
        <v>12.43</v>
      </c>
      <c r="AJ285" s="25">
        <v>514469</v>
      </c>
      <c r="AK285" s="25">
        <v>323197</v>
      </c>
      <c r="AL285" s="33">
        <v>1.6897</v>
      </c>
      <c r="AM285" s="3" t="s">
        <v>2422</v>
      </c>
      <c r="AN285" s="12" t="s">
        <v>1160</v>
      </c>
      <c r="AO285" s="12" t="s">
        <v>1160</v>
      </c>
      <c r="AP285" s="12" t="str">
        <f>"138743156280527"</f>
        <v>138743156280527</v>
      </c>
      <c r="AQ285" s="12" t="s">
        <v>1161</v>
      </c>
      <c r="AR285" s="12" t="s">
        <v>1162</v>
      </c>
      <c r="AS285" s="12" t="s">
        <v>2423</v>
      </c>
      <c r="AT285" s="12"/>
      <c r="AU285" s="12" t="s">
        <v>324</v>
      </c>
      <c r="AV285" s="12" t="s">
        <v>5731</v>
      </c>
      <c r="AW285" s="12" t="s">
        <v>3544</v>
      </c>
      <c r="AX285" s="12">
        <v>23497</v>
      </c>
      <c r="AY285" s="12">
        <v>13444</v>
      </c>
      <c r="AZ285" s="12">
        <v>23497</v>
      </c>
      <c r="BA285" s="12" t="s">
        <v>1163</v>
      </c>
      <c r="BB285" s="12" t="s">
        <v>6446</v>
      </c>
      <c r="BC285" s="12" t="s">
        <v>6447</v>
      </c>
      <c r="BD285" s="12"/>
      <c r="BE285" s="12" t="s">
        <v>2291</v>
      </c>
      <c r="BF285" s="12"/>
      <c r="BG285" s="12"/>
      <c r="BH285" s="12"/>
      <c r="BI285" s="12" t="s">
        <v>2424</v>
      </c>
      <c r="BJ285" s="12" t="s">
        <v>3545</v>
      </c>
      <c r="BK285" s="12" t="s">
        <v>6448</v>
      </c>
      <c r="BL285" s="12" t="s">
        <v>2292</v>
      </c>
      <c r="BM285" s="12" t="s">
        <v>2292</v>
      </c>
      <c r="BN285" s="12" t="s">
        <v>2292</v>
      </c>
      <c r="BO285" s="12" t="s">
        <v>2291</v>
      </c>
      <c r="BP285" s="12" t="s">
        <v>1164</v>
      </c>
      <c r="BQ285" s="12"/>
      <c r="BR285" s="12"/>
      <c r="BS285" s="12"/>
      <c r="BT285" s="12"/>
      <c r="BU285" s="12" t="s">
        <v>326</v>
      </c>
      <c r="BV285" s="12"/>
      <c r="BW285" s="12" t="s">
        <v>3226</v>
      </c>
      <c r="BX285" s="12"/>
      <c r="BY285" s="13" t="s">
        <v>313</v>
      </c>
      <c r="BZ285" s="13" t="s">
        <v>6174</v>
      </c>
      <c r="CA285" s="13" t="s">
        <v>6170</v>
      </c>
      <c r="CB285" s="13" t="s">
        <v>6199</v>
      </c>
      <c r="CC285" s="13" t="s">
        <v>6187</v>
      </c>
      <c r="CD285" s="13" t="s">
        <v>6196</v>
      </c>
      <c r="CE285" s="13"/>
      <c r="CF285" s="13"/>
    </row>
    <row r="286" spans="1:84" ht="18.600000000000001" customHeight="1" x14ac:dyDescent="0.25">
      <c r="A286" s="62" t="s">
        <v>100</v>
      </c>
      <c r="B286" s="17" t="s">
        <v>3136</v>
      </c>
      <c r="C286" s="10" t="s">
        <v>3879</v>
      </c>
      <c r="D286" s="12" t="s">
        <v>4036</v>
      </c>
      <c r="E286" s="12" t="s">
        <v>4037</v>
      </c>
      <c r="F286" s="3" t="s">
        <v>4038</v>
      </c>
      <c r="G286" s="25">
        <v>436410</v>
      </c>
      <c r="H286" s="25">
        <v>367481</v>
      </c>
      <c r="I286" s="25">
        <v>21039</v>
      </c>
      <c r="J286" s="25">
        <v>30182</v>
      </c>
      <c r="K286" s="25">
        <v>0</v>
      </c>
      <c r="L286" s="25">
        <v>0</v>
      </c>
      <c r="M286" s="25">
        <v>0</v>
      </c>
      <c r="N286" s="31">
        <v>0</v>
      </c>
      <c r="O286" s="25">
        <v>0</v>
      </c>
      <c r="P286" s="25">
        <v>0</v>
      </c>
      <c r="Q286" s="25">
        <v>16402</v>
      </c>
      <c r="R286" s="25">
        <v>1031</v>
      </c>
      <c r="S286" s="25">
        <v>211</v>
      </c>
      <c r="T286" s="25">
        <v>28</v>
      </c>
      <c r="U286" s="61">
        <v>36</v>
      </c>
      <c r="V286" s="58">
        <v>7.0499999999999993E-2</v>
      </c>
      <c r="W286" s="33">
        <v>7.3300000000000004E-2</v>
      </c>
      <c r="X286" s="12" t="s">
        <v>3926</v>
      </c>
      <c r="Y286" s="12" t="s">
        <v>3926</v>
      </c>
      <c r="Z286" s="12" t="s">
        <v>3926</v>
      </c>
      <c r="AA286" s="12" t="s">
        <v>3926</v>
      </c>
      <c r="AB286" s="25">
        <v>72</v>
      </c>
      <c r="AC286" s="25">
        <v>72</v>
      </c>
      <c r="AD286" s="25">
        <v>0</v>
      </c>
      <c r="AE286" s="25">
        <v>0</v>
      </c>
      <c r="AF286" s="25">
        <v>0</v>
      </c>
      <c r="AG286" s="25">
        <v>0</v>
      </c>
      <c r="AH286" s="25">
        <v>0</v>
      </c>
      <c r="AI286" s="12">
        <v>0.16</v>
      </c>
      <c r="AJ286" s="25">
        <v>108523</v>
      </c>
      <c r="AK286" s="25">
        <v>51703</v>
      </c>
      <c r="AL286" s="33">
        <v>0.90990000000000004</v>
      </c>
      <c r="AM286" s="10" t="s">
        <v>3879</v>
      </c>
      <c r="AN286" s="12" t="s">
        <v>4037</v>
      </c>
      <c r="AO286" s="12" t="s">
        <v>4037</v>
      </c>
      <c r="AP286" s="12" t="str">
        <f>"758061434216773"</f>
        <v>758061434216773</v>
      </c>
      <c r="AQ286" s="12" t="s">
        <v>4036</v>
      </c>
      <c r="AR286" s="12"/>
      <c r="AS286" s="12"/>
      <c r="AT286" s="12" t="s">
        <v>4546</v>
      </c>
      <c r="AU286" s="12" t="s">
        <v>5275</v>
      </c>
      <c r="AV286" s="12"/>
      <c r="AW286" s="12"/>
      <c r="AX286" s="12">
        <v>0</v>
      </c>
      <c r="AY286" s="12">
        <v>8926</v>
      </c>
      <c r="AZ286" s="12">
        <v>0</v>
      </c>
      <c r="BA286" s="12" t="s">
        <v>4547</v>
      </c>
      <c r="BB286" s="12"/>
      <c r="BC286" s="12" t="s">
        <v>6515</v>
      </c>
      <c r="BD286" s="12"/>
      <c r="BE286" s="12" t="s">
        <v>2291</v>
      </c>
      <c r="BF286" s="12"/>
      <c r="BG286" s="12"/>
      <c r="BH286" s="12"/>
      <c r="BI286" s="12"/>
      <c r="BJ286" s="12"/>
      <c r="BK286" s="12"/>
      <c r="BL286" s="12" t="s">
        <v>2292</v>
      </c>
      <c r="BM286" s="12" t="s">
        <v>2292</v>
      </c>
      <c r="BN286" s="12" t="s">
        <v>2292</v>
      </c>
      <c r="BO286" s="12" t="s">
        <v>2292</v>
      </c>
      <c r="BP286" s="12"/>
      <c r="BQ286" s="12"/>
      <c r="BR286" s="12"/>
      <c r="BS286" s="12"/>
      <c r="BT286" s="12">
        <v>1991706522</v>
      </c>
      <c r="BU286" s="12"/>
      <c r="BV286" s="12"/>
      <c r="BW286" s="12"/>
      <c r="BX286" s="12"/>
      <c r="BY286" s="13" t="s">
        <v>313</v>
      </c>
      <c r="BZ286" s="13" t="s">
        <v>6170</v>
      </c>
      <c r="CA286" s="13" t="s">
        <v>6170</v>
      </c>
      <c r="CB286" s="13" t="s">
        <v>312</v>
      </c>
      <c r="CC286" s="13"/>
      <c r="CD286" s="13" t="s">
        <v>6198</v>
      </c>
      <c r="CE286" s="13"/>
      <c r="CF286" s="13"/>
    </row>
    <row r="287" spans="1:84" ht="18.600000000000001" customHeight="1" x14ac:dyDescent="0.25">
      <c r="A287" s="35" t="s">
        <v>100</v>
      </c>
      <c r="B287" s="13" t="s">
        <v>315</v>
      </c>
      <c r="C287" s="3" t="s">
        <v>2584</v>
      </c>
      <c r="D287" s="12" t="s">
        <v>1166</v>
      </c>
      <c r="E287" s="12" t="s">
        <v>101</v>
      </c>
      <c r="F287" s="12" t="s">
        <v>4105</v>
      </c>
      <c r="G287" s="25">
        <v>20834</v>
      </c>
      <c r="H287" s="25">
        <v>18741</v>
      </c>
      <c r="I287" s="25">
        <v>633</v>
      </c>
      <c r="J287" s="25">
        <v>1091</v>
      </c>
      <c r="K287" s="25">
        <v>12215</v>
      </c>
      <c r="L287" s="25">
        <v>118</v>
      </c>
      <c r="M287" s="25">
        <v>12333</v>
      </c>
      <c r="N287" s="31">
        <v>0.99</v>
      </c>
      <c r="O287" s="25">
        <v>0</v>
      </c>
      <c r="P287" s="25">
        <v>0</v>
      </c>
      <c r="Q287" s="25">
        <v>354</v>
      </c>
      <c r="R287" s="25">
        <v>11</v>
      </c>
      <c r="S287" s="25">
        <v>3</v>
      </c>
      <c r="T287" s="25">
        <v>0</v>
      </c>
      <c r="U287" s="61">
        <v>1</v>
      </c>
      <c r="V287" s="58">
        <v>2.9999999999999997E-4</v>
      </c>
      <c r="W287" s="33">
        <v>2.9999999999999997E-4</v>
      </c>
      <c r="X287" s="33">
        <v>1E-4</v>
      </c>
      <c r="Y287" s="12" t="s">
        <v>3926</v>
      </c>
      <c r="Z287" s="33">
        <v>5.0000000000000001E-4</v>
      </c>
      <c r="AA287" s="33">
        <v>1E-4</v>
      </c>
      <c r="AB287" s="25">
        <v>1109</v>
      </c>
      <c r="AC287" s="25">
        <v>1039</v>
      </c>
      <c r="AD287" s="25">
        <v>63</v>
      </c>
      <c r="AE287" s="25">
        <v>0</v>
      </c>
      <c r="AF287" s="25">
        <v>5</v>
      </c>
      <c r="AG287" s="25">
        <v>0</v>
      </c>
      <c r="AH287" s="25">
        <v>2</v>
      </c>
      <c r="AI287" s="12">
        <v>2.5299999999999998</v>
      </c>
      <c r="AJ287" s="25">
        <v>59420</v>
      </c>
      <c r="AK287" s="25">
        <v>1138</v>
      </c>
      <c r="AL287" s="33">
        <v>1.95E-2</v>
      </c>
      <c r="AM287" s="3" t="s">
        <v>2584</v>
      </c>
      <c r="AN287" s="12" t="s">
        <v>101</v>
      </c>
      <c r="AO287" s="12" t="s">
        <v>101</v>
      </c>
      <c r="AP287" s="12" t="str">
        <f>"186872247998431"</f>
        <v>186872247998431</v>
      </c>
      <c r="AQ287" s="12" t="s">
        <v>1166</v>
      </c>
      <c r="AR287" s="12" t="s">
        <v>1167</v>
      </c>
      <c r="AS287" s="12" t="s">
        <v>2585</v>
      </c>
      <c r="AT287" s="12"/>
      <c r="AU287" s="12" t="s">
        <v>1111</v>
      </c>
      <c r="AV287" s="12"/>
      <c r="AW287" s="12"/>
      <c r="AX287" s="12">
        <v>0</v>
      </c>
      <c r="AY287" s="12">
        <v>111</v>
      </c>
      <c r="AZ287" s="12">
        <v>0</v>
      </c>
      <c r="BA287" s="12" t="s">
        <v>1165</v>
      </c>
      <c r="BB287" s="12"/>
      <c r="BC287" s="12" t="s">
        <v>6658</v>
      </c>
      <c r="BD287" s="12"/>
      <c r="BE287" s="12" t="s">
        <v>2291</v>
      </c>
      <c r="BF287" s="12"/>
      <c r="BG287" s="12"/>
      <c r="BH287" s="12"/>
      <c r="BI287" s="12" t="s">
        <v>2586</v>
      </c>
      <c r="BJ287" s="12" t="s">
        <v>2587</v>
      </c>
      <c r="BK287" s="12"/>
      <c r="BL287" s="12" t="s">
        <v>2292</v>
      </c>
      <c r="BM287" s="12" t="s">
        <v>2292</v>
      </c>
      <c r="BN287" s="12" t="s">
        <v>2292</v>
      </c>
      <c r="BO287" s="12" t="s">
        <v>2291</v>
      </c>
      <c r="BP287" s="12"/>
      <c r="BQ287" s="12"/>
      <c r="BR287" s="12"/>
      <c r="BS287" s="12"/>
      <c r="BT287" s="12" t="s">
        <v>2588</v>
      </c>
      <c r="BU287" s="12"/>
      <c r="BV287" s="12" t="s">
        <v>1168</v>
      </c>
      <c r="BW287" s="12"/>
      <c r="BX287" s="12"/>
      <c r="BY287" s="13" t="s">
        <v>313</v>
      </c>
      <c r="BZ287" s="13" t="s">
        <v>6172</v>
      </c>
      <c r="CA287" s="13"/>
      <c r="CB287" s="13"/>
      <c r="CC287" s="13"/>
      <c r="CD287" s="13"/>
      <c r="CE287" s="13"/>
      <c r="CF287" s="13" t="s">
        <v>6178</v>
      </c>
    </row>
    <row r="288" spans="1:84" ht="18.600000000000001" customHeight="1" x14ac:dyDescent="0.25">
      <c r="A288" s="60" t="s">
        <v>102</v>
      </c>
      <c r="B288" s="2" t="s">
        <v>315</v>
      </c>
      <c r="C288" s="3" t="s">
        <v>2974</v>
      </c>
      <c r="D288" s="12" t="s">
        <v>1170</v>
      </c>
      <c r="E288" s="12" t="s">
        <v>1169</v>
      </c>
      <c r="F288" s="12" t="s">
        <v>4351</v>
      </c>
      <c r="G288" s="25">
        <v>1395</v>
      </c>
      <c r="H288" s="25">
        <v>887</v>
      </c>
      <c r="I288" s="25">
        <v>398</v>
      </c>
      <c r="J288" s="25">
        <v>83</v>
      </c>
      <c r="K288" s="25">
        <v>0</v>
      </c>
      <c r="L288" s="25">
        <v>0</v>
      </c>
      <c r="M288" s="25">
        <v>0</v>
      </c>
      <c r="N288" s="31">
        <v>0</v>
      </c>
      <c r="O288" s="25">
        <v>0</v>
      </c>
      <c r="P288" s="25">
        <v>0</v>
      </c>
      <c r="Q288" s="25">
        <v>23</v>
      </c>
      <c r="R288" s="25">
        <v>3</v>
      </c>
      <c r="S288" s="25">
        <v>0</v>
      </c>
      <c r="T288" s="25">
        <v>0</v>
      </c>
      <c r="U288" s="61">
        <v>1</v>
      </c>
      <c r="V288" s="58">
        <v>1E-3</v>
      </c>
      <c r="W288" s="33">
        <v>1.1000000000000001E-3</v>
      </c>
      <c r="X288" s="33">
        <v>8.0000000000000004E-4</v>
      </c>
      <c r="Y288" s="12" t="s">
        <v>3926</v>
      </c>
      <c r="Z288" s="12" t="s">
        <v>3926</v>
      </c>
      <c r="AA288" s="12" t="s">
        <v>3926</v>
      </c>
      <c r="AB288" s="25">
        <v>42</v>
      </c>
      <c r="AC288" s="25">
        <v>41</v>
      </c>
      <c r="AD288" s="25">
        <v>1</v>
      </c>
      <c r="AE288" s="25">
        <v>0</v>
      </c>
      <c r="AF288" s="25">
        <v>0</v>
      </c>
      <c r="AG288" s="25">
        <v>0</v>
      </c>
      <c r="AH288" s="25">
        <v>0</v>
      </c>
      <c r="AI288" s="12">
        <v>0.1</v>
      </c>
      <c r="AJ288" s="25">
        <v>32438</v>
      </c>
      <c r="AK288" s="25">
        <v>2639</v>
      </c>
      <c r="AL288" s="33">
        <v>8.8599999999999998E-2</v>
      </c>
      <c r="AM288" s="3" t="s">
        <v>2974</v>
      </c>
      <c r="AN288" s="12" t="s">
        <v>1169</v>
      </c>
      <c r="AO288" s="12" t="s">
        <v>1169</v>
      </c>
      <c r="AP288" s="12" t="str">
        <f>"130818186982995"</f>
        <v>130818186982995</v>
      </c>
      <c r="AQ288" s="12" t="s">
        <v>1170</v>
      </c>
      <c r="AR288" s="12" t="s">
        <v>1171</v>
      </c>
      <c r="AS288" s="12" t="s">
        <v>1172</v>
      </c>
      <c r="AT288" s="12"/>
      <c r="AU288" s="12" t="s">
        <v>1111</v>
      </c>
      <c r="AV288" s="12"/>
      <c r="AW288" s="12">
        <v>2005</v>
      </c>
      <c r="AX288" s="12">
        <v>0</v>
      </c>
      <c r="AY288" s="12">
        <v>26</v>
      </c>
      <c r="AZ288" s="12">
        <v>0</v>
      </c>
      <c r="BA288" s="12" t="s">
        <v>1173</v>
      </c>
      <c r="BB288" s="12" t="s">
        <v>7214</v>
      </c>
      <c r="BC288" s="12" t="s">
        <v>7215</v>
      </c>
      <c r="BD288" s="12"/>
      <c r="BE288" s="12" t="s">
        <v>2291</v>
      </c>
      <c r="BF288" s="12" t="s">
        <v>2975</v>
      </c>
      <c r="BG288" s="12"/>
      <c r="BH288" s="12"/>
      <c r="BI288" s="12"/>
      <c r="BJ288" s="12"/>
      <c r="BK288" s="12"/>
      <c r="BL288" s="12" t="s">
        <v>2292</v>
      </c>
      <c r="BM288" s="12" t="s">
        <v>2292</v>
      </c>
      <c r="BN288" s="12" t="s">
        <v>2292</v>
      </c>
      <c r="BO288" s="12" t="s">
        <v>2292</v>
      </c>
      <c r="BP288" s="12"/>
      <c r="BQ288" s="12"/>
      <c r="BR288" s="12"/>
      <c r="BS288" s="12"/>
      <c r="BT288" s="12">
        <v>76718687</v>
      </c>
      <c r="BU288" s="12"/>
      <c r="BV288" s="12"/>
      <c r="BW288" s="12" t="s">
        <v>1174</v>
      </c>
      <c r="BX288" s="12"/>
      <c r="BY288" s="13" t="s">
        <v>313</v>
      </c>
      <c r="BZ288" s="13" t="s">
        <v>6173</v>
      </c>
      <c r="CA288" s="13"/>
      <c r="CB288" s="13"/>
      <c r="CC288" s="13"/>
      <c r="CD288" s="13"/>
      <c r="CE288" s="13"/>
      <c r="CF288" s="13"/>
    </row>
    <row r="289" spans="1:84" ht="18.600000000000001" customHeight="1" x14ac:dyDescent="0.25">
      <c r="A289" s="60" t="s">
        <v>102</v>
      </c>
      <c r="B289" s="2" t="s">
        <v>335</v>
      </c>
      <c r="C289" s="3" t="s">
        <v>2655</v>
      </c>
      <c r="D289" s="12" t="s">
        <v>1176</v>
      </c>
      <c r="E289" s="12" t="s">
        <v>1175</v>
      </c>
      <c r="F289" s="12" t="s">
        <v>4144</v>
      </c>
      <c r="G289" s="25">
        <v>245957</v>
      </c>
      <c r="H289" s="25">
        <v>193687</v>
      </c>
      <c r="I289" s="25">
        <v>20480</v>
      </c>
      <c r="J289" s="25">
        <v>17360</v>
      </c>
      <c r="K289" s="25">
        <v>489952</v>
      </c>
      <c r="L289" s="25">
        <v>31554</v>
      </c>
      <c r="M289" s="25">
        <v>521506</v>
      </c>
      <c r="N289" s="31">
        <v>0.94</v>
      </c>
      <c r="O289" s="25">
        <v>2167</v>
      </c>
      <c r="P289" s="25">
        <v>0</v>
      </c>
      <c r="Q289" s="25">
        <v>10655</v>
      </c>
      <c r="R289" s="25">
        <v>433</v>
      </c>
      <c r="S289" s="25">
        <v>2410</v>
      </c>
      <c r="T289" s="25">
        <v>414</v>
      </c>
      <c r="U289" s="61">
        <v>517</v>
      </c>
      <c r="V289" s="58">
        <v>2.0000000000000001E-4</v>
      </c>
      <c r="W289" s="33">
        <v>2.0000000000000001E-4</v>
      </c>
      <c r="X289" s="33">
        <v>1E-4</v>
      </c>
      <c r="Y289" s="33">
        <v>1E-4</v>
      </c>
      <c r="Z289" s="33">
        <v>2.0000000000000001E-4</v>
      </c>
      <c r="AA289" s="33">
        <v>1E-4</v>
      </c>
      <c r="AB289" s="25">
        <v>2527</v>
      </c>
      <c r="AC289" s="25">
        <v>1975</v>
      </c>
      <c r="AD289" s="25">
        <v>149</v>
      </c>
      <c r="AE289" s="25">
        <v>197</v>
      </c>
      <c r="AF289" s="25">
        <v>180</v>
      </c>
      <c r="AG289" s="25">
        <v>1</v>
      </c>
      <c r="AH289" s="25">
        <v>25</v>
      </c>
      <c r="AI289" s="12">
        <v>5.76</v>
      </c>
      <c r="AJ289" s="25">
        <v>491572</v>
      </c>
      <c r="AK289" s="25">
        <v>4134</v>
      </c>
      <c r="AL289" s="33">
        <v>8.5000000000000006E-3</v>
      </c>
      <c r="AM289" s="3" t="s">
        <v>2655</v>
      </c>
      <c r="AN289" s="12" t="s">
        <v>1175</v>
      </c>
      <c r="AO289" s="12" t="s">
        <v>1175</v>
      </c>
      <c r="AP289" s="12" t="str">
        <f>"187734237903479"</f>
        <v>187734237903479</v>
      </c>
      <c r="AQ289" s="12" t="s">
        <v>1176</v>
      </c>
      <c r="AR289" s="12" t="s">
        <v>1177</v>
      </c>
      <c r="AS289" s="12" t="s">
        <v>1178</v>
      </c>
      <c r="AT289" s="12"/>
      <c r="AU289" s="12" t="s">
        <v>324</v>
      </c>
      <c r="AV289" s="12"/>
      <c r="AW289" s="12" t="s">
        <v>1179</v>
      </c>
      <c r="AX289" s="12">
        <v>0</v>
      </c>
      <c r="AY289" s="12">
        <v>1666</v>
      </c>
      <c r="AZ289" s="12">
        <v>0</v>
      </c>
      <c r="BA289" s="12" t="s">
        <v>1180</v>
      </c>
      <c r="BB289" s="12" t="s">
        <v>5879</v>
      </c>
      <c r="BC289" s="12" t="s">
        <v>6753</v>
      </c>
      <c r="BD289" s="12"/>
      <c r="BE289" s="12" t="s">
        <v>2291</v>
      </c>
      <c r="BF289" s="12"/>
      <c r="BG289" s="12"/>
      <c r="BH289" s="12"/>
      <c r="BI289" s="12" t="s">
        <v>4580</v>
      </c>
      <c r="BJ289" s="12" t="s">
        <v>2656</v>
      </c>
      <c r="BK289" s="12"/>
      <c r="BL289" s="12" t="s">
        <v>2292</v>
      </c>
      <c r="BM289" s="12" t="s">
        <v>2292</v>
      </c>
      <c r="BN289" s="12" t="s">
        <v>2292</v>
      </c>
      <c r="BO289" s="12" t="s">
        <v>2291</v>
      </c>
      <c r="BP289" s="12" t="s">
        <v>2657</v>
      </c>
      <c r="BQ289" s="12"/>
      <c r="BR289" s="12"/>
      <c r="BS289" s="12"/>
      <c r="BT289" s="12"/>
      <c r="BU289" s="12"/>
      <c r="BV289" s="12"/>
      <c r="BW289" s="12" t="s">
        <v>1181</v>
      </c>
      <c r="BX289" s="12"/>
      <c r="BY289" s="13" t="s">
        <v>313</v>
      </c>
      <c r="BZ289" s="13" t="s">
        <v>6172</v>
      </c>
      <c r="CA289" s="13"/>
      <c r="CB289" s="13"/>
      <c r="CC289" s="13"/>
      <c r="CD289" s="13"/>
      <c r="CE289" s="13"/>
      <c r="CF289" s="13"/>
    </row>
    <row r="290" spans="1:84" ht="18.600000000000001" customHeight="1" x14ac:dyDescent="0.25">
      <c r="A290" s="60" t="s">
        <v>103</v>
      </c>
      <c r="B290" s="2" t="s">
        <v>5519</v>
      </c>
      <c r="C290" s="4" t="s">
        <v>5518</v>
      </c>
      <c r="D290" s="12" t="s">
        <v>5537</v>
      </c>
      <c r="E290" s="12" t="s">
        <v>5520</v>
      </c>
      <c r="F290" s="12" t="s">
        <v>5538</v>
      </c>
      <c r="G290" s="25">
        <v>221647</v>
      </c>
      <c r="H290" s="25">
        <v>185261</v>
      </c>
      <c r="I290" s="25">
        <v>9732</v>
      </c>
      <c r="J290" s="25">
        <v>11718</v>
      </c>
      <c r="K290" s="25">
        <v>166388</v>
      </c>
      <c r="L290" s="25">
        <v>117136</v>
      </c>
      <c r="M290" s="25">
        <v>283524</v>
      </c>
      <c r="N290" s="31">
        <v>0.59</v>
      </c>
      <c r="O290" s="25">
        <v>0</v>
      </c>
      <c r="P290" s="25">
        <v>0</v>
      </c>
      <c r="Q290" s="25">
        <v>12414</v>
      </c>
      <c r="R290" s="25">
        <v>578</v>
      </c>
      <c r="S290" s="25">
        <v>330</v>
      </c>
      <c r="T290" s="25">
        <v>1016</v>
      </c>
      <c r="U290" s="61">
        <v>485</v>
      </c>
      <c r="V290" s="58">
        <v>1.17E-2</v>
      </c>
      <c r="W290" s="33">
        <v>0.01</v>
      </c>
      <c r="X290" s="33">
        <v>2.41E-2</v>
      </c>
      <c r="Y290" s="33">
        <v>1.4E-2</v>
      </c>
      <c r="Z290" s="33">
        <v>2.7400000000000001E-2</v>
      </c>
      <c r="AA290" s="33">
        <v>4.3499999999999997E-2</v>
      </c>
      <c r="AB290" s="25">
        <v>590</v>
      </c>
      <c r="AC290" s="25">
        <v>551</v>
      </c>
      <c r="AD290" s="25">
        <v>7</v>
      </c>
      <c r="AE290" s="25">
        <v>11</v>
      </c>
      <c r="AF290" s="25">
        <v>20</v>
      </c>
      <c r="AG290" s="25">
        <v>0</v>
      </c>
      <c r="AH290" s="25">
        <v>1</v>
      </c>
      <c r="AI290" s="12">
        <v>1.34</v>
      </c>
      <c r="AJ290" s="25">
        <v>51416</v>
      </c>
      <c r="AK290" s="25">
        <v>33393</v>
      </c>
      <c r="AL290" s="33">
        <v>1.8528</v>
      </c>
      <c r="AM290" s="4" t="s">
        <v>5518</v>
      </c>
      <c r="AN290" s="12" t="s">
        <v>5520</v>
      </c>
      <c r="AO290" s="12" t="s">
        <v>5520</v>
      </c>
      <c r="AP290" s="12" t="str">
        <f>"664833020216470"</f>
        <v>664833020216470</v>
      </c>
      <c r="AQ290" s="12" t="s">
        <v>5537</v>
      </c>
      <c r="AR290" s="12" t="s">
        <v>5574</v>
      </c>
      <c r="AS290" s="12" t="s">
        <v>5575</v>
      </c>
      <c r="AT290" s="12"/>
      <c r="AU290" s="12" t="s">
        <v>319</v>
      </c>
      <c r="AV290" s="12"/>
      <c r="AW290" s="12"/>
      <c r="AX290" s="12">
        <v>0</v>
      </c>
      <c r="AY290" s="12">
        <v>4578</v>
      </c>
      <c r="AZ290" s="12">
        <v>0</v>
      </c>
      <c r="BA290" s="12" t="s">
        <v>5576</v>
      </c>
      <c r="BB290" s="12"/>
      <c r="BC290" s="12" t="s">
        <v>6639</v>
      </c>
      <c r="BD290" s="12"/>
      <c r="BE290" s="12" t="s">
        <v>2291</v>
      </c>
      <c r="BF290" s="12"/>
      <c r="BG290" s="12"/>
      <c r="BH290" s="12"/>
      <c r="BI290" s="12" t="s">
        <v>5577</v>
      </c>
      <c r="BJ290" s="12"/>
      <c r="BK290" s="12"/>
      <c r="BL290" s="12" t="s">
        <v>2292</v>
      </c>
      <c r="BM290" s="12" t="s">
        <v>2292</v>
      </c>
      <c r="BN290" s="12" t="s">
        <v>2292</v>
      </c>
      <c r="BO290" s="12" t="s">
        <v>2291</v>
      </c>
      <c r="BP290" s="12"/>
      <c r="BQ290" s="12"/>
      <c r="BR290" s="12"/>
      <c r="BS290" s="12"/>
      <c r="BT290" s="12"/>
      <c r="BU290" s="12"/>
      <c r="BV290" s="12"/>
      <c r="BW290" s="12"/>
      <c r="BX290" s="12"/>
      <c r="BY290" s="13" t="s">
        <v>313</v>
      </c>
      <c r="BZ290" s="13" t="s">
        <v>312</v>
      </c>
      <c r="CA290" s="13"/>
      <c r="CB290" s="13"/>
      <c r="CC290" s="13"/>
      <c r="CD290" s="13"/>
      <c r="CE290" s="13"/>
      <c r="CF290" s="13"/>
    </row>
    <row r="291" spans="1:84" ht="18.600000000000001" customHeight="1" x14ac:dyDescent="0.25">
      <c r="A291" s="60" t="s">
        <v>103</v>
      </c>
      <c r="B291" s="2" t="s">
        <v>1187</v>
      </c>
      <c r="C291" s="3" t="s">
        <v>2661</v>
      </c>
      <c r="D291" s="12" t="s">
        <v>1182</v>
      </c>
      <c r="E291" s="12" t="s">
        <v>104</v>
      </c>
      <c r="F291" s="12" t="s">
        <v>4149</v>
      </c>
      <c r="G291" s="25">
        <v>2403724</v>
      </c>
      <c r="H291" s="25">
        <v>2060067</v>
      </c>
      <c r="I291" s="25">
        <v>73859</v>
      </c>
      <c r="J291" s="25">
        <v>148274</v>
      </c>
      <c r="K291" s="25">
        <v>5411041</v>
      </c>
      <c r="L291" s="25">
        <v>2945314</v>
      </c>
      <c r="M291" s="25">
        <v>8356355</v>
      </c>
      <c r="N291" s="31">
        <v>0.65</v>
      </c>
      <c r="O291" s="25">
        <v>1555649</v>
      </c>
      <c r="P291" s="25">
        <v>255969</v>
      </c>
      <c r="Q291" s="25">
        <v>85674</v>
      </c>
      <c r="R291" s="25">
        <v>13088</v>
      </c>
      <c r="S291" s="25">
        <v>8012</v>
      </c>
      <c r="T291" s="25">
        <v>10509</v>
      </c>
      <c r="U291" s="61">
        <v>2706</v>
      </c>
      <c r="V291" s="58">
        <v>3.8999999999999998E-3</v>
      </c>
      <c r="W291" s="33">
        <v>3.8999999999999998E-3</v>
      </c>
      <c r="X291" s="33">
        <v>3.3999999999999998E-3</v>
      </c>
      <c r="Y291" s="33">
        <v>5.0000000000000001E-3</v>
      </c>
      <c r="Z291" s="33">
        <v>5.5999999999999999E-3</v>
      </c>
      <c r="AA291" s="33">
        <v>1.8E-3</v>
      </c>
      <c r="AB291" s="25">
        <v>521</v>
      </c>
      <c r="AC291" s="25">
        <v>377</v>
      </c>
      <c r="AD291" s="25">
        <v>37</v>
      </c>
      <c r="AE291" s="25">
        <v>7</v>
      </c>
      <c r="AF291" s="25">
        <v>60</v>
      </c>
      <c r="AG291" s="25">
        <v>25</v>
      </c>
      <c r="AH291" s="25">
        <v>15</v>
      </c>
      <c r="AI291" s="12">
        <v>1.19</v>
      </c>
      <c r="AJ291" s="25">
        <v>1196199</v>
      </c>
      <c r="AK291" s="25">
        <v>49529</v>
      </c>
      <c r="AL291" s="33">
        <v>4.3200000000000002E-2</v>
      </c>
      <c r="AM291" s="3" t="s">
        <v>2661</v>
      </c>
      <c r="AN291" s="12" t="s">
        <v>104</v>
      </c>
      <c r="AO291" s="12" t="s">
        <v>104</v>
      </c>
      <c r="AP291" s="12" t="str">
        <f>"125845680811480"</f>
        <v>125845680811480</v>
      </c>
      <c r="AQ291" s="12" t="s">
        <v>1182</v>
      </c>
      <c r="AR291" s="12" t="s">
        <v>1183</v>
      </c>
      <c r="AS291" s="12" t="s">
        <v>1184</v>
      </c>
      <c r="AT291" s="12" t="s">
        <v>2662</v>
      </c>
      <c r="AU291" s="12" t="s">
        <v>309</v>
      </c>
      <c r="AV291" s="12"/>
      <c r="AW291" s="12"/>
      <c r="AX291" s="12">
        <v>0</v>
      </c>
      <c r="AY291" s="12">
        <v>32010</v>
      </c>
      <c r="AZ291" s="12">
        <v>0</v>
      </c>
      <c r="BA291" s="12" t="s">
        <v>1185</v>
      </c>
      <c r="BB291" s="12" t="s">
        <v>6761</v>
      </c>
      <c r="BC291" s="12" t="s">
        <v>6762</v>
      </c>
      <c r="BD291" s="12"/>
      <c r="BE291" s="12" t="s">
        <v>2291</v>
      </c>
      <c r="BF291" s="12"/>
      <c r="BG291" s="12"/>
      <c r="BH291" s="12"/>
      <c r="BI291" s="12"/>
      <c r="BJ291" s="12"/>
      <c r="BK291" s="12"/>
      <c r="BL291" s="12" t="s">
        <v>2292</v>
      </c>
      <c r="BM291" s="12" t="s">
        <v>2292</v>
      </c>
      <c r="BN291" s="12" t="s">
        <v>2292</v>
      </c>
      <c r="BO291" s="12" t="s">
        <v>2291</v>
      </c>
      <c r="BP291" s="12"/>
      <c r="BQ291" s="12"/>
      <c r="BR291" s="12"/>
      <c r="BS291" s="12"/>
      <c r="BT291" s="12"/>
      <c r="BU291" s="12"/>
      <c r="BV291" s="12"/>
      <c r="BW291" s="12" t="s">
        <v>1186</v>
      </c>
      <c r="BX291" s="12"/>
      <c r="BY291" s="13" t="s">
        <v>313</v>
      </c>
      <c r="BZ291" s="13" t="s">
        <v>6173</v>
      </c>
      <c r="CA291" s="13" t="s">
        <v>6170</v>
      </c>
      <c r="CB291" s="13" t="s">
        <v>6197</v>
      </c>
      <c r="CC291" s="13"/>
      <c r="CD291" s="13" t="s">
        <v>6198</v>
      </c>
      <c r="CE291" s="13"/>
      <c r="CF291" s="13"/>
    </row>
    <row r="292" spans="1:84" ht="18.600000000000001" customHeight="1" x14ac:dyDescent="0.25">
      <c r="A292" s="60" t="s">
        <v>103</v>
      </c>
      <c r="B292" s="2" t="s">
        <v>315</v>
      </c>
      <c r="C292" s="3" t="s">
        <v>2541</v>
      </c>
      <c r="D292" s="12" t="s">
        <v>1189</v>
      </c>
      <c r="E292" s="12" t="s">
        <v>1188</v>
      </c>
      <c r="F292" s="12" t="s">
        <v>4081</v>
      </c>
      <c r="G292" s="25">
        <v>445590</v>
      </c>
      <c r="H292" s="25">
        <v>287004</v>
      </c>
      <c r="I292" s="25">
        <v>15206</v>
      </c>
      <c r="J292" s="25">
        <v>117047</v>
      </c>
      <c r="K292" s="25">
        <v>34770291</v>
      </c>
      <c r="L292" s="25">
        <v>4590124</v>
      </c>
      <c r="M292" s="25">
        <v>39360415</v>
      </c>
      <c r="N292" s="31">
        <v>0.88</v>
      </c>
      <c r="O292" s="25">
        <v>428951</v>
      </c>
      <c r="P292" s="25">
        <v>14457</v>
      </c>
      <c r="Q292" s="25">
        <v>11411</v>
      </c>
      <c r="R292" s="25">
        <v>2498</v>
      </c>
      <c r="S292" s="25">
        <v>10508</v>
      </c>
      <c r="T292" s="25">
        <v>1117</v>
      </c>
      <c r="U292" s="61">
        <v>760</v>
      </c>
      <c r="V292" s="58">
        <v>2.0999999999999999E-3</v>
      </c>
      <c r="W292" s="33">
        <v>5.0000000000000001E-4</v>
      </c>
      <c r="X292" s="33">
        <v>1.1000000000000001E-3</v>
      </c>
      <c r="Y292" s="33">
        <v>1E-4</v>
      </c>
      <c r="Z292" s="33">
        <v>4.4999999999999997E-3</v>
      </c>
      <c r="AA292" s="33">
        <v>2.0000000000000001E-4</v>
      </c>
      <c r="AB292" s="25">
        <v>828</v>
      </c>
      <c r="AC292" s="25">
        <v>180</v>
      </c>
      <c r="AD292" s="25">
        <v>225</v>
      </c>
      <c r="AE292" s="25">
        <v>1</v>
      </c>
      <c r="AF292" s="25">
        <v>335</v>
      </c>
      <c r="AG292" s="25">
        <v>68</v>
      </c>
      <c r="AH292" s="25">
        <v>19</v>
      </c>
      <c r="AI292" s="12">
        <v>1.89</v>
      </c>
      <c r="AJ292" s="25">
        <v>273890</v>
      </c>
      <c r="AK292" s="25">
        <v>50583</v>
      </c>
      <c r="AL292" s="33">
        <v>0.22650000000000001</v>
      </c>
      <c r="AM292" s="3" t="s">
        <v>2541</v>
      </c>
      <c r="AN292" s="12" t="s">
        <v>1188</v>
      </c>
      <c r="AO292" s="12" t="s">
        <v>1188</v>
      </c>
      <c r="AP292" s="12" t="str">
        <f>"109555293685"</f>
        <v>109555293685</v>
      </c>
      <c r="AQ292" s="12" t="s">
        <v>1189</v>
      </c>
      <c r="AR292" s="12" t="s">
        <v>1190</v>
      </c>
      <c r="AS292" s="12" t="s">
        <v>1191</v>
      </c>
      <c r="AT292" s="12"/>
      <c r="AU292" s="12" t="s">
        <v>324</v>
      </c>
      <c r="AV292" s="12"/>
      <c r="AW292" s="12"/>
      <c r="AX292" s="12">
        <v>0</v>
      </c>
      <c r="AY292" s="12">
        <v>4626</v>
      </c>
      <c r="AZ292" s="12">
        <v>0</v>
      </c>
      <c r="BA292" s="12" t="s">
        <v>1192</v>
      </c>
      <c r="BB292" s="12"/>
      <c r="BC292" s="12" t="s">
        <v>6610</v>
      </c>
      <c r="BD292" s="12"/>
      <c r="BE292" s="12" t="s">
        <v>2291</v>
      </c>
      <c r="BF292" s="12"/>
      <c r="BG292" s="12"/>
      <c r="BH292" s="12"/>
      <c r="BI292" s="12" t="s">
        <v>3201</v>
      </c>
      <c r="BJ292" s="12"/>
      <c r="BK292" s="12"/>
      <c r="BL292" s="12" t="s">
        <v>2292</v>
      </c>
      <c r="BM292" s="12" t="s">
        <v>2292</v>
      </c>
      <c r="BN292" s="12" t="s">
        <v>2292</v>
      </c>
      <c r="BO292" s="12" t="s">
        <v>2291</v>
      </c>
      <c r="BP292" s="12"/>
      <c r="BQ292" s="12"/>
      <c r="BR292" s="12"/>
      <c r="BS292" s="12"/>
      <c r="BT292" s="12"/>
      <c r="BU292" s="12"/>
      <c r="BV292" s="12"/>
      <c r="BW292" s="12"/>
      <c r="BX292" s="12"/>
      <c r="BY292" s="13" t="s">
        <v>313</v>
      </c>
      <c r="BZ292" s="13" t="s">
        <v>6174</v>
      </c>
      <c r="CA292" s="13" t="s">
        <v>6170</v>
      </c>
      <c r="CB292" s="13" t="s">
        <v>6200</v>
      </c>
      <c r="CC292" s="13" t="s">
        <v>6187</v>
      </c>
      <c r="CD292" s="13"/>
      <c r="CE292" s="13"/>
      <c r="CF292" s="13"/>
    </row>
    <row r="293" spans="1:84" ht="18.600000000000001" customHeight="1" x14ac:dyDescent="0.25">
      <c r="A293" s="60" t="s">
        <v>103</v>
      </c>
      <c r="B293" s="2" t="s">
        <v>1197</v>
      </c>
      <c r="C293" s="3" t="s">
        <v>3073</v>
      </c>
      <c r="D293" s="12" t="s">
        <v>1194</v>
      </c>
      <c r="E293" s="12" t="s">
        <v>1193</v>
      </c>
      <c r="F293" s="12" t="s">
        <v>4421</v>
      </c>
      <c r="G293" s="25">
        <v>211112</v>
      </c>
      <c r="H293" s="25">
        <v>169371</v>
      </c>
      <c r="I293" s="25">
        <v>6588</v>
      </c>
      <c r="J293" s="25">
        <v>24714</v>
      </c>
      <c r="K293" s="25">
        <v>760405</v>
      </c>
      <c r="L293" s="25">
        <v>936480</v>
      </c>
      <c r="M293" s="25">
        <v>1696885</v>
      </c>
      <c r="N293" s="31">
        <v>0.45</v>
      </c>
      <c r="O293" s="25">
        <v>10581</v>
      </c>
      <c r="P293" s="25">
        <v>8110</v>
      </c>
      <c r="Q293" s="25">
        <v>8360</v>
      </c>
      <c r="R293" s="25">
        <v>955</v>
      </c>
      <c r="S293" s="25">
        <v>238</v>
      </c>
      <c r="T293" s="25">
        <v>626</v>
      </c>
      <c r="U293" s="61">
        <v>167</v>
      </c>
      <c r="V293" s="58">
        <v>5.7000000000000002E-3</v>
      </c>
      <c r="W293" s="33">
        <v>4.5999999999999999E-3</v>
      </c>
      <c r="X293" s="33">
        <v>3.3E-3</v>
      </c>
      <c r="Y293" s="33">
        <v>3.7000000000000002E-3</v>
      </c>
      <c r="Z293" s="33">
        <v>2.1700000000000001E-2</v>
      </c>
      <c r="AA293" s="33">
        <v>1.9E-3</v>
      </c>
      <c r="AB293" s="25">
        <v>409</v>
      </c>
      <c r="AC293" s="25">
        <v>328</v>
      </c>
      <c r="AD293" s="25">
        <v>30</v>
      </c>
      <c r="AE293" s="25">
        <v>14</v>
      </c>
      <c r="AF293" s="25">
        <v>30</v>
      </c>
      <c r="AG293" s="25">
        <v>3</v>
      </c>
      <c r="AH293" s="25">
        <v>4</v>
      </c>
      <c r="AI293" s="12">
        <v>0.93</v>
      </c>
      <c r="AJ293" s="25">
        <v>98259</v>
      </c>
      <c r="AK293" s="25">
        <v>13871</v>
      </c>
      <c r="AL293" s="33">
        <v>0.16439999999999999</v>
      </c>
      <c r="AM293" s="3" t="s">
        <v>3073</v>
      </c>
      <c r="AN293" s="12" t="s">
        <v>1193</v>
      </c>
      <c r="AO293" s="12" t="s">
        <v>1193</v>
      </c>
      <c r="AP293" s="12" t="str">
        <f>"30332546206"</f>
        <v>30332546206</v>
      </c>
      <c r="AQ293" s="12" t="s">
        <v>1194</v>
      </c>
      <c r="AR293" s="12" t="s">
        <v>1195</v>
      </c>
      <c r="AS293" s="12" t="s">
        <v>3074</v>
      </c>
      <c r="AT293" s="12" t="s">
        <v>3075</v>
      </c>
      <c r="AU293" s="12" t="s">
        <v>319</v>
      </c>
      <c r="AV293" s="12"/>
      <c r="AW293" s="12"/>
      <c r="AX293" s="12">
        <v>0</v>
      </c>
      <c r="AY293" s="12">
        <v>738</v>
      </c>
      <c r="AZ293" s="12">
        <v>0</v>
      </c>
      <c r="BA293" s="12" t="s">
        <v>1196</v>
      </c>
      <c r="BB293" s="12"/>
      <c r="BC293" s="12" t="s">
        <v>7380</v>
      </c>
      <c r="BD293" s="12"/>
      <c r="BE293" s="12" t="s">
        <v>2291</v>
      </c>
      <c r="BF293" s="12"/>
      <c r="BG293" s="12"/>
      <c r="BH293" s="12"/>
      <c r="BI293" s="12"/>
      <c r="BJ293" s="12"/>
      <c r="BK293" s="12"/>
      <c r="BL293" s="12" t="s">
        <v>2292</v>
      </c>
      <c r="BM293" s="12" t="s">
        <v>2292</v>
      </c>
      <c r="BN293" s="12" t="s">
        <v>2292</v>
      </c>
      <c r="BO293" s="12" t="s">
        <v>2291</v>
      </c>
      <c r="BP293" s="12"/>
      <c r="BQ293" s="12"/>
      <c r="BR293" s="12"/>
      <c r="BS293" s="12"/>
      <c r="BT293" s="12"/>
      <c r="BU293" s="12"/>
      <c r="BV293" s="12"/>
      <c r="BW293" s="12"/>
      <c r="BX293" s="12"/>
      <c r="BY293" s="13" t="s">
        <v>313</v>
      </c>
      <c r="BZ293" s="13" t="s">
        <v>312</v>
      </c>
      <c r="CA293" s="13"/>
      <c r="CB293" s="13"/>
      <c r="CC293" s="13"/>
      <c r="CD293" s="13"/>
      <c r="CE293" s="13"/>
      <c r="CF293" s="13"/>
    </row>
    <row r="294" spans="1:84" ht="18.600000000000001" customHeight="1" x14ac:dyDescent="0.25">
      <c r="A294" s="60" t="s">
        <v>105</v>
      </c>
      <c r="B294" s="2" t="s">
        <v>5026</v>
      </c>
      <c r="C294" s="3" t="s">
        <v>5027</v>
      </c>
      <c r="D294" s="12" t="s">
        <v>5028</v>
      </c>
      <c r="E294" s="12" t="s">
        <v>5136</v>
      </c>
      <c r="F294" s="12" t="s">
        <v>5137</v>
      </c>
      <c r="G294" s="25">
        <v>3840545</v>
      </c>
      <c r="H294" s="25">
        <v>2912957</v>
      </c>
      <c r="I294" s="25">
        <v>452883</v>
      </c>
      <c r="J294" s="25">
        <v>164699</v>
      </c>
      <c r="K294" s="25">
        <v>10546444</v>
      </c>
      <c r="L294" s="25">
        <v>1986450</v>
      </c>
      <c r="M294" s="25">
        <v>12532894</v>
      </c>
      <c r="N294" s="31">
        <v>0.84</v>
      </c>
      <c r="O294" s="25">
        <v>853020</v>
      </c>
      <c r="P294" s="25">
        <v>4615639</v>
      </c>
      <c r="Q294" s="25">
        <v>209957</v>
      </c>
      <c r="R294" s="25">
        <v>20771</v>
      </c>
      <c r="S294" s="25">
        <v>8146</v>
      </c>
      <c r="T294" s="25">
        <v>53613</v>
      </c>
      <c r="U294" s="61">
        <v>17467</v>
      </c>
      <c r="V294" s="58">
        <v>1.04E-2</v>
      </c>
      <c r="W294" s="33">
        <v>9.1000000000000004E-3</v>
      </c>
      <c r="X294" s="33">
        <v>1.2500000000000001E-2</v>
      </c>
      <c r="Y294" s="33">
        <v>2.0400000000000001E-2</v>
      </c>
      <c r="Z294" s="33">
        <v>7.7999999999999996E-3</v>
      </c>
      <c r="AA294" s="33">
        <v>7.3000000000000001E-3</v>
      </c>
      <c r="AB294" s="25">
        <v>569</v>
      </c>
      <c r="AC294" s="25">
        <v>207</v>
      </c>
      <c r="AD294" s="25">
        <v>12</v>
      </c>
      <c r="AE294" s="25">
        <v>123</v>
      </c>
      <c r="AF294" s="25">
        <v>196</v>
      </c>
      <c r="AG294" s="25">
        <v>18</v>
      </c>
      <c r="AH294" s="25">
        <v>13</v>
      </c>
      <c r="AI294" s="12">
        <v>1.3</v>
      </c>
      <c r="AJ294" s="25">
        <v>747220</v>
      </c>
      <c r="AK294" s="25">
        <v>281497</v>
      </c>
      <c r="AL294" s="33">
        <v>0.60440000000000005</v>
      </c>
      <c r="AM294" s="3" t="s">
        <v>5027</v>
      </c>
      <c r="AN294" s="12" t="s">
        <v>5136</v>
      </c>
      <c r="AO294" s="12" t="s">
        <v>5136</v>
      </c>
      <c r="AP294" s="12" t="str">
        <f>"181808448592182"</f>
        <v>181808448592182</v>
      </c>
      <c r="AQ294" s="12" t="s">
        <v>5028</v>
      </c>
      <c r="AR294" s="12"/>
      <c r="AS294" s="12" t="s">
        <v>5387</v>
      </c>
      <c r="AT294" s="12" t="s">
        <v>5388</v>
      </c>
      <c r="AU294" s="12" t="s">
        <v>309</v>
      </c>
      <c r="AV294" s="12"/>
      <c r="AW294" s="12"/>
      <c r="AX294" s="12">
        <v>0</v>
      </c>
      <c r="AY294" s="12">
        <v>70715</v>
      </c>
      <c r="AZ294" s="12">
        <v>0</v>
      </c>
      <c r="BA294" s="12" t="s">
        <v>5389</v>
      </c>
      <c r="BB294" s="12"/>
      <c r="BC294" s="12" t="s">
        <v>6957</v>
      </c>
      <c r="BD294" s="12"/>
      <c r="BE294" s="12" t="s">
        <v>2291</v>
      </c>
      <c r="BF294" s="12"/>
      <c r="BG294" s="12"/>
      <c r="BH294" s="12"/>
      <c r="BI294" s="12"/>
      <c r="BJ294" s="12"/>
      <c r="BK294" s="12"/>
      <c r="BL294" s="12" t="s">
        <v>2292</v>
      </c>
      <c r="BM294" s="12" t="s">
        <v>2292</v>
      </c>
      <c r="BN294" s="12" t="s">
        <v>2292</v>
      </c>
      <c r="BO294" s="12" t="s">
        <v>2291</v>
      </c>
      <c r="BP294" s="12"/>
      <c r="BQ294" s="12"/>
      <c r="BR294" s="12"/>
      <c r="BS294" s="12"/>
      <c r="BT294" s="12"/>
      <c r="BU294" s="12"/>
      <c r="BV294" s="12"/>
      <c r="BW294" s="12"/>
      <c r="BX294" s="12"/>
      <c r="BY294" s="13" t="s">
        <v>313</v>
      </c>
      <c r="BZ294" s="13" t="s">
        <v>312</v>
      </c>
      <c r="CA294" s="13" t="s">
        <v>6170</v>
      </c>
      <c r="CB294" s="13" t="s">
        <v>6197</v>
      </c>
      <c r="CC294" s="13"/>
      <c r="CD294" s="13" t="s">
        <v>6198</v>
      </c>
      <c r="CE294" s="13"/>
      <c r="CF294" s="13"/>
    </row>
    <row r="295" spans="1:84" ht="18.600000000000001" customHeight="1" x14ac:dyDescent="0.25">
      <c r="A295" s="60" t="s">
        <v>105</v>
      </c>
      <c r="B295" s="2" t="s">
        <v>314</v>
      </c>
      <c r="C295" s="3" t="s">
        <v>5077</v>
      </c>
      <c r="D295" s="12" t="s">
        <v>5117</v>
      </c>
      <c r="E295" s="12" t="s">
        <v>5118</v>
      </c>
      <c r="F295" s="3" t="s">
        <v>5119</v>
      </c>
      <c r="G295" s="25">
        <v>344720</v>
      </c>
      <c r="H295" s="25">
        <v>272339</v>
      </c>
      <c r="I295" s="25">
        <v>6840</v>
      </c>
      <c r="J295" s="25">
        <v>31886</v>
      </c>
      <c r="K295" s="25">
        <v>4425096</v>
      </c>
      <c r="L295" s="25">
        <v>68299</v>
      </c>
      <c r="M295" s="25">
        <v>4493395</v>
      </c>
      <c r="N295" s="31">
        <v>0.98</v>
      </c>
      <c r="O295" s="25">
        <v>277973</v>
      </c>
      <c r="P295" s="25">
        <v>463</v>
      </c>
      <c r="Q295" s="25">
        <v>25195</v>
      </c>
      <c r="R295" s="25">
        <v>6961</v>
      </c>
      <c r="S295" s="25">
        <v>964</v>
      </c>
      <c r="T295" s="25">
        <v>279</v>
      </c>
      <c r="U295" s="61">
        <v>242</v>
      </c>
      <c r="V295" s="58">
        <v>2.0000000000000001E-4</v>
      </c>
      <c r="W295" s="33">
        <v>2.0000000000000001E-4</v>
      </c>
      <c r="X295" s="33">
        <v>1E-4</v>
      </c>
      <c r="Y295" s="12" t="s">
        <v>3926</v>
      </c>
      <c r="Z295" s="33">
        <v>1E-3</v>
      </c>
      <c r="AA295" s="33">
        <v>1E-4</v>
      </c>
      <c r="AB295" s="25">
        <v>3020</v>
      </c>
      <c r="AC295" s="25">
        <v>1586</v>
      </c>
      <c r="AD295" s="25">
        <v>1008</v>
      </c>
      <c r="AE295" s="25">
        <v>0</v>
      </c>
      <c r="AF295" s="25">
        <v>109</v>
      </c>
      <c r="AG295" s="25">
        <v>286</v>
      </c>
      <c r="AH295" s="25">
        <v>31</v>
      </c>
      <c r="AI295" s="12">
        <v>6.88</v>
      </c>
      <c r="AJ295" s="25">
        <v>630082</v>
      </c>
      <c r="AK295" s="25">
        <v>956</v>
      </c>
      <c r="AL295" s="33">
        <v>1.5E-3</v>
      </c>
      <c r="AM295" s="3" t="s">
        <v>5077</v>
      </c>
      <c r="AN295" s="12" t="s">
        <v>5118</v>
      </c>
      <c r="AO295" s="12" t="s">
        <v>5118</v>
      </c>
      <c r="AP295" s="12" t="str">
        <f>"181274814520"</f>
        <v>181274814520</v>
      </c>
      <c r="AQ295" s="12" t="s">
        <v>5117</v>
      </c>
      <c r="AR295" s="12" t="s">
        <v>5340</v>
      </c>
      <c r="AS295" s="12" t="s">
        <v>5341</v>
      </c>
      <c r="AT295" s="12"/>
      <c r="AU295" s="12" t="s">
        <v>324</v>
      </c>
      <c r="AV295" s="12" t="s">
        <v>5877</v>
      </c>
      <c r="AW295" s="12" t="s">
        <v>5342</v>
      </c>
      <c r="AX295" s="12">
        <v>3826</v>
      </c>
      <c r="AY295" s="12">
        <v>2457</v>
      </c>
      <c r="AZ295" s="12">
        <v>0</v>
      </c>
      <c r="BA295" s="12" t="s">
        <v>5343</v>
      </c>
      <c r="BB295" s="12" t="s">
        <v>6749</v>
      </c>
      <c r="BC295" s="12" t="s">
        <v>6750</v>
      </c>
      <c r="BD295" s="12"/>
      <c r="BE295" s="12" t="s">
        <v>2291</v>
      </c>
      <c r="BF295" s="12"/>
      <c r="BG295" s="12"/>
      <c r="BH295" s="12"/>
      <c r="BI295" s="12" t="s">
        <v>5344</v>
      </c>
      <c r="BJ295" s="12" t="s">
        <v>5345</v>
      </c>
      <c r="BK295" s="12" t="s">
        <v>6581</v>
      </c>
      <c r="BL295" s="12" t="s">
        <v>2292</v>
      </c>
      <c r="BM295" s="12" t="s">
        <v>2292</v>
      </c>
      <c r="BN295" s="12" t="s">
        <v>2292</v>
      </c>
      <c r="BO295" s="12" t="s">
        <v>2292</v>
      </c>
      <c r="BP295" s="12" t="s">
        <v>5346</v>
      </c>
      <c r="BQ295" s="12"/>
      <c r="BR295" s="12"/>
      <c r="BS295" s="12"/>
      <c r="BT295" s="12"/>
      <c r="BU295" s="12" t="s">
        <v>326</v>
      </c>
      <c r="BV295" s="12"/>
      <c r="BW295" s="12" t="s">
        <v>5591</v>
      </c>
      <c r="BX295" s="12"/>
      <c r="BY295" s="13" t="s">
        <v>313</v>
      </c>
      <c r="BZ295" s="13" t="s">
        <v>6173</v>
      </c>
      <c r="CA295" s="13" t="s">
        <v>6170</v>
      </c>
      <c r="CB295" s="13" t="s">
        <v>6197</v>
      </c>
      <c r="CC295" s="13"/>
      <c r="CD295" s="13" t="s">
        <v>6198</v>
      </c>
      <c r="CE295" s="13"/>
      <c r="CF295" s="13"/>
    </row>
    <row r="296" spans="1:84" ht="18.600000000000001" customHeight="1" x14ac:dyDescent="0.25">
      <c r="A296" s="60" t="s">
        <v>105</v>
      </c>
      <c r="B296" s="2" t="s">
        <v>314</v>
      </c>
      <c r="C296" s="3" t="s">
        <v>5075</v>
      </c>
      <c r="D296" s="12" t="s">
        <v>1198</v>
      </c>
      <c r="E296" s="12" t="s">
        <v>5076</v>
      </c>
      <c r="F296" s="12" t="s">
        <v>5161</v>
      </c>
      <c r="G296" s="25">
        <v>1537664</v>
      </c>
      <c r="H296" s="25">
        <v>1142998</v>
      </c>
      <c r="I296" s="25">
        <v>123918</v>
      </c>
      <c r="J296" s="25">
        <v>108490</v>
      </c>
      <c r="K296" s="25">
        <v>3965978</v>
      </c>
      <c r="L296" s="25">
        <v>2471034</v>
      </c>
      <c r="M296" s="25">
        <v>6437012</v>
      </c>
      <c r="N296" s="31">
        <v>0.62</v>
      </c>
      <c r="O296" s="25">
        <v>1411841</v>
      </c>
      <c r="P296" s="25">
        <v>271396</v>
      </c>
      <c r="Q296" s="25">
        <v>131838</v>
      </c>
      <c r="R296" s="25">
        <v>16272</v>
      </c>
      <c r="S296" s="25">
        <v>3223</v>
      </c>
      <c r="T296" s="25">
        <v>6398</v>
      </c>
      <c r="U296" s="61">
        <v>4527</v>
      </c>
      <c r="V296" s="58">
        <v>1.7999999999999999E-2</v>
      </c>
      <c r="W296" s="33">
        <v>2.3400000000000001E-2</v>
      </c>
      <c r="X296" s="33">
        <v>1.3599999999999999E-2</v>
      </c>
      <c r="Y296" s="33">
        <v>1.2999999999999999E-2</v>
      </c>
      <c r="Z296" s="33">
        <v>2.5499999999999998E-2</v>
      </c>
      <c r="AA296" s="33">
        <v>1.0800000000000001E-2</v>
      </c>
      <c r="AB296" s="25">
        <v>1065</v>
      </c>
      <c r="AC296" s="25">
        <v>597</v>
      </c>
      <c r="AD296" s="25">
        <v>10</v>
      </c>
      <c r="AE296" s="25">
        <v>75</v>
      </c>
      <c r="AF296" s="25">
        <v>201</v>
      </c>
      <c r="AG296" s="25">
        <v>177</v>
      </c>
      <c r="AH296" s="25">
        <v>5</v>
      </c>
      <c r="AI296" s="12">
        <v>2.4300000000000002</v>
      </c>
      <c r="AJ296" s="25">
        <v>113860</v>
      </c>
      <c r="AK296" s="25">
        <v>0</v>
      </c>
      <c r="AL296" s="31">
        <v>0</v>
      </c>
      <c r="AM296" s="3" t="s">
        <v>5075</v>
      </c>
      <c r="AN296" s="12" t="s">
        <v>5076</v>
      </c>
      <c r="AO296" s="12" t="s">
        <v>5076</v>
      </c>
      <c r="AP296" s="12" t="str">
        <f>"1893228080965423"</f>
        <v>1893228080965423</v>
      </c>
      <c r="AQ296" s="12" t="s">
        <v>1198</v>
      </c>
      <c r="AR296" s="12" t="s">
        <v>5473</v>
      </c>
      <c r="AS296" s="12" t="s">
        <v>5474</v>
      </c>
      <c r="AT296" s="12"/>
      <c r="AU296" s="12" t="s">
        <v>324</v>
      </c>
      <c r="AV296" s="12"/>
      <c r="AW296" s="12"/>
      <c r="AX296" s="12">
        <v>0</v>
      </c>
      <c r="AY296" s="12">
        <v>18268</v>
      </c>
      <c r="AZ296" s="12">
        <v>0</v>
      </c>
      <c r="BA296" s="12" t="s">
        <v>5475</v>
      </c>
      <c r="BB296" s="12"/>
      <c r="BC296" s="12" t="s">
        <v>7298</v>
      </c>
      <c r="BD296" s="12"/>
      <c r="BE296" s="12" t="s">
        <v>2291</v>
      </c>
      <c r="BF296" s="12"/>
      <c r="BG296" s="12"/>
      <c r="BH296" s="12"/>
      <c r="BI296" s="12" t="s">
        <v>5476</v>
      </c>
      <c r="BJ296" s="12"/>
      <c r="BK296" s="12"/>
      <c r="BL296" s="12" t="s">
        <v>2292</v>
      </c>
      <c r="BM296" s="12" t="s">
        <v>2292</v>
      </c>
      <c r="BN296" s="12" t="s">
        <v>2292</v>
      </c>
      <c r="BO296" s="12" t="s">
        <v>2291</v>
      </c>
      <c r="BP296" s="12"/>
      <c r="BQ296" s="12"/>
      <c r="BR296" s="12"/>
      <c r="BS296" s="12"/>
      <c r="BT296" s="12"/>
      <c r="BU296" s="12"/>
      <c r="BV296" s="12"/>
      <c r="BW296" s="12"/>
      <c r="BX296" s="12"/>
      <c r="BY296" s="13" t="s">
        <v>313</v>
      </c>
      <c r="BZ296" s="13" t="s">
        <v>6170</v>
      </c>
      <c r="CA296" s="13" t="s">
        <v>6170</v>
      </c>
      <c r="CB296" s="13" t="s">
        <v>6201</v>
      </c>
      <c r="CC296" s="13"/>
      <c r="CD296" s="13" t="s">
        <v>6198</v>
      </c>
      <c r="CE296" s="13"/>
      <c r="CF296" s="13"/>
    </row>
    <row r="297" spans="1:84" ht="18.600000000000001" customHeight="1" x14ac:dyDescent="0.25">
      <c r="A297" s="60" t="s">
        <v>105</v>
      </c>
      <c r="B297" s="2" t="s">
        <v>5024</v>
      </c>
      <c r="C297" s="3" t="s">
        <v>5205</v>
      </c>
      <c r="D297" s="12" t="s">
        <v>5025</v>
      </c>
      <c r="E297" s="12" t="s">
        <v>5081</v>
      </c>
      <c r="F297" s="12" t="s">
        <v>5707</v>
      </c>
      <c r="G297" s="25">
        <v>438535</v>
      </c>
      <c r="H297" s="25">
        <v>354862</v>
      </c>
      <c r="I297" s="25">
        <v>28920</v>
      </c>
      <c r="J297" s="25">
        <v>17822</v>
      </c>
      <c r="K297" s="25">
        <v>49900</v>
      </c>
      <c r="L297" s="25">
        <v>22011</v>
      </c>
      <c r="M297" s="25">
        <v>71911</v>
      </c>
      <c r="N297" s="31">
        <v>0.69</v>
      </c>
      <c r="O297" s="25">
        <v>12067</v>
      </c>
      <c r="P297" s="25">
        <v>0</v>
      </c>
      <c r="Q297" s="25">
        <v>23302</v>
      </c>
      <c r="R297" s="25">
        <v>3621</v>
      </c>
      <c r="S297" s="25">
        <v>871</v>
      </c>
      <c r="T297" s="25">
        <v>8635</v>
      </c>
      <c r="U297" s="61">
        <v>495</v>
      </c>
      <c r="V297" s="58">
        <v>2.69E-2</v>
      </c>
      <c r="W297" s="33">
        <v>2.5899999999999999E-2</v>
      </c>
      <c r="X297" s="33">
        <v>4.0899999999999999E-2</v>
      </c>
      <c r="Y297" s="33">
        <v>5.7700000000000001E-2</v>
      </c>
      <c r="Z297" s="33">
        <v>1.9800000000000002E-2</v>
      </c>
      <c r="AA297" s="12" t="s">
        <v>3926</v>
      </c>
      <c r="AB297" s="25">
        <v>559</v>
      </c>
      <c r="AC297" s="25">
        <v>398</v>
      </c>
      <c r="AD297" s="25">
        <v>42</v>
      </c>
      <c r="AE297" s="25">
        <v>109</v>
      </c>
      <c r="AF297" s="25">
        <v>9</v>
      </c>
      <c r="AG297" s="25">
        <v>1</v>
      </c>
      <c r="AH297" s="25">
        <v>0</v>
      </c>
      <c r="AI297" s="12">
        <v>1.27</v>
      </c>
      <c r="AJ297" s="25">
        <v>36946</v>
      </c>
      <c r="AK297" s="25">
        <v>0</v>
      </c>
      <c r="AL297" s="31">
        <v>0</v>
      </c>
      <c r="AM297" s="3" t="s">
        <v>5205</v>
      </c>
      <c r="AN297" s="12" t="s">
        <v>5081</v>
      </c>
      <c r="AO297" s="12" t="s">
        <v>5081</v>
      </c>
      <c r="AP297" s="12" t="str">
        <f>"248098908609302"</f>
        <v>248098908609302</v>
      </c>
      <c r="AQ297" s="12" t="s">
        <v>5025</v>
      </c>
      <c r="AR297" s="12"/>
      <c r="AS297" s="12" t="s">
        <v>5210</v>
      </c>
      <c r="AT297" s="12"/>
      <c r="AU297" s="12" t="s">
        <v>309</v>
      </c>
      <c r="AV297" s="12"/>
      <c r="AW297" s="12"/>
      <c r="AX297" s="12">
        <v>0</v>
      </c>
      <c r="AY297" s="12">
        <v>1877</v>
      </c>
      <c r="AZ297" s="12">
        <v>0</v>
      </c>
      <c r="BA297" s="12" t="s">
        <v>5211</v>
      </c>
      <c r="BB297" s="12" t="s">
        <v>5732</v>
      </c>
      <c r="BC297" s="12" t="s">
        <v>6253</v>
      </c>
      <c r="BD297" s="12" t="s">
        <v>3143</v>
      </c>
      <c r="BE297" s="12" t="s">
        <v>2291</v>
      </c>
      <c r="BF297" s="12"/>
      <c r="BG297" s="12"/>
      <c r="BH297" s="12"/>
      <c r="BI297" s="12"/>
      <c r="BJ297" s="12"/>
      <c r="BK297" s="12"/>
      <c r="BL297" s="12" t="s">
        <v>2292</v>
      </c>
      <c r="BM297" s="12" t="s">
        <v>2292</v>
      </c>
      <c r="BN297" s="12" t="s">
        <v>2292</v>
      </c>
      <c r="BO297" s="12" t="s">
        <v>2291</v>
      </c>
      <c r="BP297" s="12"/>
      <c r="BQ297" s="12"/>
      <c r="BR297" s="12"/>
      <c r="BS297" s="12"/>
      <c r="BT297" s="12"/>
      <c r="BU297" s="12"/>
      <c r="BV297" s="12"/>
      <c r="BW297" s="12" t="s">
        <v>1210</v>
      </c>
      <c r="BX297" s="12"/>
      <c r="BY297" s="13" t="s">
        <v>313</v>
      </c>
      <c r="BZ297" s="13" t="s">
        <v>6170</v>
      </c>
      <c r="CA297" s="13" t="s">
        <v>6170</v>
      </c>
      <c r="CB297" s="13" t="s">
        <v>6197</v>
      </c>
      <c r="CC297" s="13"/>
      <c r="CD297" s="13" t="s">
        <v>6198</v>
      </c>
      <c r="CE297" s="13"/>
      <c r="CF297" s="13"/>
    </row>
    <row r="298" spans="1:84" ht="18.600000000000001" customHeight="1" x14ac:dyDescent="0.25">
      <c r="A298" s="60" t="s">
        <v>105</v>
      </c>
      <c r="B298" s="2" t="s">
        <v>315</v>
      </c>
      <c r="C298" s="3" t="s">
        <v>2929</v>
      </c>
      <c r="D298" s="12" t="s">
        <v>3241</v>
      </c>
      <c r="E298" s="12" t="s">
        <v>106</v>
      </c>
      <c r="F298" s="12" t="s">
        <v>4326</v>
      </c>
      <c r="G298" s="25">
        <v>58567</v>
      </c>
      <c r="H298" s="25">
        <v>35608</v>
      </c>
      <c r="I298" s="25">
        <v>12549</v>
      </c>
      <c r="J298" s="25">
        <v>7698</v>
      </c>
      <c r="K298" s="25">
        <v>80888</v>
      </c>
      <c r="L298" s="25">
        <v>3379</v>
      </c>
      <c r="M298" s="25">
        <v>84267</v>
      </c>
      <c r="N298" s="31">
        <v>0.96</v>
      </c>
      <c r="O298" s="25">
        <v>47778</v>
      </c>
      <c r="P298" s="25">
        <v>0</v>
      </c>
      <c r="Q298" s="25">
        <v>2005</v>
      </c>
      <c r="R298" s="25">
        <v>201</v>
      </c>
      <c r="S298" s="25">
        <v>69</v>
      </c>
      <c r="T298" s="25">
        <v>251</v>
      </c>
      <c r="U298" s="61">
        <v>185</v>
      </c>
      <c r="V298" s="58">
        <v>4.0000000000000002E-4</v>
      </c>
      <c r="W298" s="33">
        <v>5.0000000000000001E-4</v>
      </c>
      <c r="X298" s="33">
        <v>2.0000000000000001E-4</v>
      </c>
      <c r="Y298" s="33">
        <v>2.9999999999999997E-4</v>
      </c>
      <c r="Z298" s="33">
        <v>4.0000000000000002E-4</v>
      </c>
      <c r="AA298" s="33">
        <v>2.9999999999999997E-4</v>
      </c>
      <c r="AB298" s="25">
        <v>609</v>
      </c>
      <c r="AC298" s="25">
        <v>411</v>
      </c>
      <c r="AD298" s="25">
        <v>117</v>
      </c>
      <c r="AE298" s="25">
        <v>17</v>
      </c>
      <c r="AF298" s="25">
        <v>23</v>
      </c>
      <c r="AG298" s="25">
        <v>32</v>
      </c>
      <c r="AH298" s="25">
        <v>9</v>
      </c>
      <c r="AI298" s="12">
        <v>1.39</v>
      </c>
      <c r="AJ298" s="25">
        <v>223808</v>
      </c>
      <c r="AK298" s="25">
        <v>-17233</v>
      </c>
      <c r="AL298" s="33">
        <v>-7.1499999999999994E-2</v>
      </c>
      <c r="AM298" s="3" t="s">
        <v>2929</v>
      </c>
      <c r="AN298" s="12" t="s">
        <v>106</v>
      </c>
      <c r="AO298" s="12" t="s">
        <v>106</v>
      </c>
      <c r="AP298" s="12" t="str">
        <f>"184448914914155"</f>
        <v>184448914914155</v>
      </c>
      <c r="AQ298" s="12" t="s">
        <v>3241</v>
      </c>
      <c r="AR298" s="12" t="s">
        <v>5437</v>
      </c>
      <c r="AS298" s="12" t="s">
        <v>1199</v>
      </c>
      <c r="AT298" s="12"/>
      <c r="AU298" s="12" t="s">
        <v>324</v>
      </c>
      <c r="AV298" s="12" t="s">
        <v>5731</v>
      </c>
      <c r="AW298" s="12"/>
      <c r="AX298" s="12">
        <v>1</v>
      </c>
      <c r="AY298" s="12">
        <v>669</v>
      </c>
      <c r="AZ298" s="12">
        <v>0</v>
      </c>
      <c r="BA298" s="12" t="s">
        <v>1200</v>
      </c>
      <c r="BB298" s="12" t="s">
        <v>7167</v>
      </c>
      <c r="BC298" s="12" t="s">
        <v>7168</v>
      </c>
      <c r="BD298" s="12"/>
      <c r="BE298" s="12" t="s">
        <v>2291</v>
      </c>
      <c r="BF298" s="12"/>
      <c r="BG298" s="12"/>
      <c r="BH298" s="12"/>
      <c r="BI298" s="12" t="s">
        <v>2930</v>
      </c>
      <c r="BJ298" s="12" t="s">
        <v>6128</v>
      </c>
      <c r="BK298" s="12" t="s">
        <v>6581</v>
      </c>
      <c r="BL298" s="12" t="s">
        <v>2292</v>
      </c>
      <c r="BM298" s="12" t="s">
        <v>2292</v>
      </c>
      <c r="BN298" s="12" t="s">
        <v>2292</v>
      </c>
      <c r="BO298" s="12" t="s">
        <v>2291</v>
      </c>
      <c r="BP298" s="12"/>
      <c r="BQ298" s="12"/>
      <c r="BR298" s="12"/>
      <c r="BS298" s="12"/>
      <c r="BT298" s="12" t="s">
        <v>1201</v>
      </c>
      <c r="BU298" s="12" t="s">
        <v>326</v>
      </c>
      <c r="BV298" s="12"/>
      <c r="BW298" s="12" t="s">
        <v>5438</v>
      </c>
      <c r="BX298" s="12"/>
      <c r="BY298" s="13" t="s">
        <v>313</v>
      </c>
      <c r="BZ298" s="13" t="s">
        <v>6170</v>
      </c>
      <c r="CA298" s="13" t="s">
        <v>6170</v>
      </c>
      <c r="CB298" s="13" t="s">
        <v>6197</v>
      </c>
      <c r="CC298" s="13"/>
      <c r="CD298" s="13" t="s">
        <v>6198</v>
      </c>
      <c r="CE298" s="13"/>
      <c r="CF298" s="13"/>
    </row>
    <row r="299" spans="1:84" ht="18.600000000000001" customHeight="1" x14ac:dyDescent="0.25">
      <c r="A299" s="60" t="s">
        <v>105</v>
      </c>
      <c r="B299" s="2" t="s">
        <v>315</v>
      </c>
      <c r="C299" s="3" t="s">
        <v>2550</v>
      </c>
      <c r="D299" s="12" t="s">
        <v>5080</v>
      </c>
      <c r="E299" s="12" t="s">
        <v>107</v>
      </c>
      <c r="F299" s="12" t="s">
        <v>4088</v>
      </c>
      <c r="G299" s="25">
        <v>3632</v>
      </c>
      <c r="H299" s="25">
        <v>1776</v>
      </c>
      <c r="I299" s="25">
        <v>387</v>
      </c>
      <c r="J299" s="25">
        <v>1377</v>
      </c>
      <c r="K299" s="25">
        <v>7006</v>
      </c>
      <c r="L299" s="25">
        <v>595</v>
      </c>
      <c r="M299" s="25">
        <v>7601</v>
      </c>
      <c r="N299" s="31">
        <v>0.92</v>
      </c>
      <c r="O299" s="25">
        <v>4373</v>
      </c>
      <c r="P299" s="25">
        <v>1231</v>
      </c>
      <c r="Q299" s="25">
        <v>52</v>
      </c>
      <c r="R299" s="25">
        <v>21</v>
      </c>
      <c r="S299" s="25">
        <v>6</v>
      </c>
      <c r="T299" s="25">
        <v>8</v>
      </c>
      <c r="U299" s="61">
        <v>5</v>
      </c>
      <c r="V299" s="58">
        <v>2.0000000000000001E-4</v>
      </c>
      <c r="W299" s="33">
        <v>2.0000000000000001E-4</v>
      </c>
      <c r="X299" s="12" t="s">
        <v>3926</v>
      </c>
      <c r="Y299" s="12" t="s">
        <v>3926</v>
      </c>
      <c r="Z299" s="33">
        <v>1E-4</v>
      </c>
      <c r="AA299" s="12" t="s">
        <v>3926</v>
      </c>
      <c r="AB299" s="25">
        <v>161</v>
      </c>
      <c r="AC299" s="25">
        <v>153</v>
      </c>
      <c r="AD299" s="25">
        <v>0</v>
      </c>
      <c r="AE299" s="25">
        <v>0</v>
      </c>
      <c r="AF299" s="25">
        <v>7</v>
      </c>
      <c r="AG299" s="25">
        <v>1</v>
      </c>
      <c r="AH299" s="25">
        <v>0</v>
      </c>
      <c r="AI299" s="12">
        <v>0.37</v>
      </c>
      <c r="AJ299" s="25">
        <v>102763</v>
      </c>
      <c r="AK299" s="25">
        <v>-8160</v>
      </c>
      <c r="AL299" s="33">
        <v>-7.3599999999999999E-2</v>
      </c>
      <c r="AM299" s="3" t="s">
        <v>2550</v>
      </c>
      <c r="AN299" s="12" t="s">
        <v>107</v>
      </c>
      <c r="AO299" s="12" t="s">
        <v>107</v>
      </c>
      <c r="AP299" s="12" t="str">
        <f>"220638891327386"</f>
        <v>220638891327386</v>
      </c>
      <c r="AQ299" s="12" t="s">
        <v>5080</v>
      </c>
      <c r="AR299" s="12" t="s">
        <v>5307</v>
      </c>
      <c r="AS299" s="12" t="s">
        <v>5308</v>
      </c>
      <c r="AT299" s="12"/>
      <c r="AU299" s="12" t="s">
        <v>324</v>
      </c>
      <c r="AV299" s="12"/>
      <c r="AW299" s="12"/>
      <c r="AX299" s="12">
        <v>0</v>
      </c>
      <c r="AY299" s="12">
        <v>52</v>
      </c>
      <c r="AZ299" s="12">
        <v>0</v>
      </c>
      <c r="BA299" s="12" t="s">
        <v>1206</v>
      </c>
      <c r="BB299" s="12"/>
      <c r="BC299" s="12" t="s">
        <v>6622</v>
      </c>
      <c r="BD299" s="12"/>
      <c r="BE299" s="12" t="s">
        <v>2291</v>
      </c>
      <c r="BF299" s="12"/>
      <c r="BG299" s="12"/>
      <c r="BH299" s="12"/>
      <c r="BI299" s="12"/>
      <c r="BJ299" s="12"/>
      <c r="BK299" s="12"/>
      <c r="BL299" s="12" t="s">
        <v>2292</v>
      </c>
      <c r="BM299" s="12" t="s">
        <v>2292</v>
      </c>
      <c r="BN299" s="12" t="s">
        <v>2292</v>
      </c>
      <c r="BO299" s="12" t="s">
        <v>2292</v>
      </c>
      <c r="BP299" s="12"/>
      <c r="BQ299" s="12"/>
      <c r="BR299" s="12"/>
      <c r="BS299" s="12"/>
      <c r="BT299" s="12" t="s">
        <v>5309</v>
      </c>
      <c r="BU299" s="12"/>
      <c r="BV299" s="12"/>
      <c r="BW299" s="12"/>
      <c r="BX299" s="12"/>
      <c r="BY299" s="13" t="s">
        <v>313</v>
      </c>
      <c r="BZ299" s="13" t="s">
        <v>6170</v>
      </c>
      <c r="CA299" s="13" t="s">
        <v>6170</v>
      </c>
      <c r="CB299" s="13" t="s">
        <v>312</v>
      </c>
      <c r="CC299" s="13"/>
      <c r="CD299" s="13" t="s">
        <v>6198</v>
      </c>
      <c r="CE299" s="13"/>
      <c r="CF299" s="13"/>
    </row>
    <row r="300" spans="1:84" ht="18.600000000000001" customHeight="1" x14ac:dyDescent="0.25">
      <c r="A300" s="60" t="s">
        <v>105</v>
      </c>
      <c r="B300" s="2" t="s">
        <v>335</v>
      </c>
      <c r="C300" s="3" t="s">
        <v>2785</v>
      </c>
      <c r="D300" s="12" t="s">
        <v>3212</v>
      </c>
      <c r="E300" s="12" t="s">
        <v>1202</v>
      </c>
      <c r="F300" s="12" t="s">
        <v>4220</v>
      </c>
      <c r="G300" s="25">
        <v>254214</v>
      </c>
      <c r="H300" s="25">
        <v>178870</v>
      </c>
      <c r="I300" s="25">
        <v>21401</v>
      </c>
      <c r="J300" s="25">
        <v>41167</v>
      </c>
      <c r="K300" s="25">
        <v>1425115</v>
      </c>
      <c r="L300" s="25">
        <v>396996</v>
      </c>
      <c r="M300" s="25">
        <v>1822111</v>
      </c>
      <c r="N300" s="31">
        <v>0.78</v>
      </c>
      <c r="O300" s="25">
        <v>299228</v>
      </c>
      <c r="P300" s="25">
        <v>79114</v>
      </c>
      <c r="Q300" s="25">
        <v>6275</v>
      </c>
      <c r="R300" s="25">
        <v>1286</v>
      </c>
      <c r="S300" s="25">
        <v>290</v>
      </c>
      <c r="T300" s="25">
        <v>3395</v>
      </c>
      <c r="U300" s="61">
        <v>1530</v>
      </c>
      <c r="V300" s="58">
        <v>1.2999999999999999E-3</v>
      </c>
      <c r="W300" s="33">
        <v>1.2999999999999999E-3</v>
      </c>
      <c r="X300" s="33">
        <v>1.6000000000000001E-3</v>
      </c>
      <c r="Y300" s="33">
        <v>1E-3</v>
      </c>
      <c r="Z300" s="33">
        <v>2.3E-3</v>
      </c>
      <c r="AA300" s="33">
        <v>5.9999999999999995E-4</v>
      </c>
      <c r="AB300" s="25">
        <v>1324</v>
      </c>
      <c r="AC300" s="25">
        <v>887</v>
      </c>
      <c r="AD300" s="25">
        <v>127</v>
      </c>
      <c r="AE300" s="25">
        <v>89</v>
      </c>
      <c r="AF300" s="25">
        <v>119</v>
      </c>
      <c r="AG300" s="25">
        <v>94</v>
      </c>
      <c r="AH300" s="25">
        <v>8</v>
      </c>
      <c r="AI300" s="12">
        <v>3.02</v>
      </c>
      <c r="AJ300" s="25">
        <v>153182</v>
      </c>
      <c r="AK300" s="25">
        <v>17653</v>
      </c>
      <c r="AL300" s="33">
        <v>0.1303</v>
      </c>
      <c r="AM300" s="3" t="s">
        <v>2785</v>
      </c>
      <c r="AN300" s="12" t="s">
        <v>1202</v>
      </c>
      <c r="AO300" s="12" t="s">
        <v>1202</v>
      </c>
      <c r="AP300" s="12" t="str">
        <f>"114737585253641"</f>
        <v>114737585253641</v>
      </c>
      <c r="AQ300" s="12" t="s">
        <v>3212</v>
      </c>
      <c r="AR300" s="12" t="s">
        <v>2786</v>
      </c>
      <c r="AS300" s="12" t="s">
        <v>1203</v>
      </c>
      <c r="AT300" s="12"/>
      <c r="AU300" s="12" t="s">
        <v>324</v>
      </c>
      <c r="AV300" s="12"/>
      <c r="AW300" s="12"/>
      <c r="AX300" s="12">
        <v>0</v>
      </c>
      <c r="AY300" s="12">
        <v>16926</v>
      </c>
      <c r="AZ300" s="12">
        <v>0</v>
      </c>
      <c r="BA300" s="12" t="s">
        <v>1204</v>
      </c>
      <c r="BB300" s="12" t="s">
        <v>6943</v>
      </c>
      <c r="BC300" s="12" t="s">
        <v>6944</v>
      </c>
      <c r="BD300" s="12"/>
      <c r="BE300" s="12" t="s">
        <v>2291</v>
      </c>
      <c r="BF300" s="12"/>
      <c r="BG300" s="12"/>
      <c r="BH300" s="12"/>
      <c r="BI300" s="12" t="s">
        <v>1205</v>
      </c>
      <c r="BJ300" s="12" t="s">
        <v>2787</v>
      </c>
      <c r="BK300" s="12"/>
      <c r="BL300" s="12" t="s">
        <v>2292</v>
      </c>
      <c r="BM300" s="12" t="s">
        <v>2292</v>
      </c>
      <c r="BN300" s="12" t="s">
        <v>2292</v>
      </c>
      <c r="BO300" s="12" t="s">
        <v>2291</v>
      </c>
      <c r="BP300" s="12"/>
      <c r="BQ300" s="12"/>
      <c r="BR300" s="12"/>
      <c r="BS300" s="12"/>
      <c r="BT300" s="12"/>
      <c r="BU300" s="12"/>
      <c r="BV300" s="12"/>
      <c r="BW300" s="12" t="s">
        <v>5594</v>
      </c>
      <c r="BX300" s="12"/>
      <c r="BY300" s="13" t="s">
        <v>313</v>
      </c>
      <c r="BZ300" s="13" t="s">
        <v>6174</v>
      </c>
      <c r="CA300" s="13" t="s">
        <v>6170</v>
      </c>
      <c r="CB300" s="13" t="s">
        <v>6201</v>
      </c>
      <c r="CC300" s="13"/>
      <c r="CD300" s="13" t="s">
        <v>6198</v>
      </c>
      <c r="CE300" s="13"/>
      <c r="CF300" s="13"/>
    </row>
    <row r="301" spans="1:84" ht="18.600000000000001" customHeight="1" x14ac:dyDescent="0.25">
      <c r="A301" s="60" t="s">
        <v>105</v>
      </c>
      <c r="B301" s="2" t="s">
        <v>335</v>
      </c>
      <c r="C301" s="3" t="s">
        <v>2784</v>
      </c>
      <c r="D301" s="12" t="s">
        <v>1208</v>
      </c>
      <c r="E301" s="12" t="s">
        <v>1207</v>
      </c>
      <c r="F301" s="12" t="s">
        <v>4219</v>
      </c>
      <c r="G301" s="25">
        <v>7403</v>
      </c>
      <c r="H301" s="25">
        <v>5681</v>
      </c>
      <c r="I301" s="25">
        <v>293</v>
      </c>
      <c r="J301" s="25">
        <v>1058</v>
      </c>
      <c r="K301" s="25">
        <v>9714</v>
      </c>
      <c r="L301" s="25">
        <v>2689</v>
      </c>
      <c r="M301" s="25">
        <v>12403</v>
      </c>
      <c r="N301" s="31">
        <v>0.78</v>
      </c>
      <c r="O301" s="25">
        <v>13817</v>
      </c>
      <c r="P301" s="25">
        <v>0</v>
      </c>
      <c r="Q301" s="25">
        <v>261</v>
      </c>
      <c r="R301" s="25">
        <v>30</v>
      </c>
      <c r="S301" s="25">
        <v>22</v>
      </c>
      <c r="T301" s="25">
        <v>34</v>
      </c>
      <c r="U301" s="61">
        <v>24</v>
      </c>
      <c r="V301" s="58">
        <v>2.0000000000000001E-4</v>
      </c>
      <c r="W301" s="33">
        <v>2.9999999999999997E-4</v>
      </c>
      <c r="X301" s="33">
        <v>1E-4</v>
      </c>
      <c r="Y301" s="33">
        <v>1E-4</v>
      </c>
      <c r="Z301" s="33">
        <v>8.0000000000000004E-4</v>
      </c>
      <c r="AA301" s="33">
        <v>2.0000000000000001E-4</v>
      </c>
      <c r="AB301" s="25">
        <v>726</v>
      </c>
      <c r="AC301" s="25">
        <v>168</v>
      </c>
      <c r="AD301" s="25">
        <v>421</v>
      </c>
      <c r="AE301" s="25">
        <v>105</v>
      </c>
      <c r="AF301" s="25">
        <v>12</v>
      </c>
      <c r="AG301" s="25">
        <v>15</v>
      </c>
      <c r="AH301" s="25">
        <v>5</v>
      </c>
      <c r="AI301" s="12">
        <v>1.65</v>
      </c>
      <c r="AJ301" s="25">
        <v>52416</v>
      </c>
      <c r="AK301" s="25">
        <v>3156</v>
      </c>
      <c r="AL301" s="33">
        <v>6.4100000000000004E-2</v>
      </c>
      <c r="AM301" s="3" t="s">
        <v>2784</v>
      </c>
      <c r="AN301" s="12" t="s">
        <v>1207</v>
      </c>
      <c r="AO301" s="12" t="s">
        <v>1207</v>
      </c>
      <c r="AP301" s="12" t="str">
        <f>"168364409846894"</f>
        <v>168364409846894</v>
      </c>
      <c r="AQ301" s="12" t="s">
        <v>1208</v>
      </c>
      <c r="AR301" s="12" t="s">
        <v>6121</v>
      </c>
      <c r="AS301" s="12" t="s">
        <v>6122</v>
      </c>
      <c r="AT301" s="12"/>
      <c r="AU301" s="12" t="s">
        <v>324</v>
      </c>
      <c r="AV301" s="12" t="s">
        <v>5731</v>
      </c>
      <c r="AW301" s="12"/>
      <c r="AX301" s="12">
        <v>1050</v>
      </c>
      <c r="AY301" s="12">
        <v>407</v>
      </c>
      <c r="AZ301" s="12">
        <v>1050</v>
      </c>
      <c r="BA301" s="12" t="s">
        <v>1209</v>
      </c>
      <c r="BB301" s="12" t="s">
        <v>6941</v>
      </c>
      <c r="BC301" s="12" t="s">
        <v>6942</v>
      </c>
      <c r="BD301" s="12"/>
      <c r="BE301" s="12" t="s">
        <v>2291</v>
      </c>
      <c r="BF301" s="12"/>
      <c r="BG301" s="12"/>
      <c r="BH301" s="12"/>
      <c r="BI301" s="12"/>
      <c r="BJ301" s="12"/>
      <c r="BK301" s="12"/>
      <c r="BL301" s="12" t="s">
        <v>2292</v>
      </c>
      <c r="BM301" s="12" t="s">
        <v>2292</v>
      </c>
      <c r="BN301" s="12" t="s">
        <v>2292</v>
      </c>
      <c r="BO301" s="12" t="s">
        <v>2292</v>
      </c>
      <c r="BP301" s="12"/>
      <c r="BQ301" s="12"/>
      <c r="BR301" s="12"/>
      <c r="BS301" s="12"/>
      <c r="BT301" s="12">
        <v>82221002114</v>
      </c>
      <c r="BU301" s="12" t="s">
        <v>326</v>
      </c>
      <c r="BV301" s="12"/>
      <c r="BW301" s="12" t="s">
        <v>5593</v>
      </c>
      <c r="BX301" s="12"/>
      <c r="BY301" s="13" t="s">
        <v>313</v>
      </c>
      <c r="BZ301" s="13" t="s">
        <v>6170</v>
      </c>
      <c r="CA301" s="13" t="s">
        <v>6170</v>
      </c>
      <c r="CB301" s="13" t="s">
        <v>312</v>
      </c>
      <c r="CC301" s="13"/>
      <c r="CD301" s="13" t="s">
        <v>6198</v>
      </c>
      <c r="CE301" s="13"/>
      <c r="CF301" s="13"/>
    </row>
    <row r="302" spans="1:84" ht="18.600000000000001" customHeight="1" x14ac:dyDescent="0.25">
      <c r="A302" s="60" t="s">
        <v>108</v>
      </c>
      <c r="B302" s="2" t="s">
        <v>1217</v>
      </c>
      <c r="C302" s="3" t="s">
        <v>2671</v>
      </c>
      <c r="D302" s="12" t="s">
        <v>1211</v>
      </c>
      <c r="E302" s="12" t="s">
        <v>1212</v>
      </c>
      <c r="F302" s="12" t="s">
        <v>4160</v>
      </c>
      <c r="G302" s="25">
        <v>1397943</v>
      </c>
      <c r="H302" s="25">
        <v>1070640</v>
      </c>
      <c r="I302" s="25">
        <v>102811</v>
      </c>
      <c r="J302" s="25">
        <v>150593</v>
      </c>
      <c r="K302" s="25">
        <v>6544618</v>
      </c>
      <c r="L302" s="25">
        <v>1020044</v>
      </c>
      <c r="M302" s="25">
        <v>7564662</v>
      </c>
      <c r="N302" s="31">
        <v>0.87</v>
      </c>
      <c r="O302" s="25">
        <v>39517</v>
      </c>
      <c r="P302" s="25">
        <v>1053123</v>
      </c>
      <c r="Q302" s="25">
        <v>35118</v>
      </c>
      <c r="R302" s="25">
        <v>4481</v>
      </c>
      <c r="S302" s="25">
        <v>26005</v>
      </c>
      <c r="T302" s="25">
        <v>3370</v>
      </c>
      <c r="U302" s="61">
        <v>4893</v>
      </c>
      <c r="V302" s="58">
        <v>8.0000000000000004E-4</v>
      </c>
      <c r="W302" s="33">
        <v>6.9999999999999999E-4</v>
      </c>
      <c r="X302" s="33">
        <v>3.2000000000000002E-3</v>
      </c>
      <c r="Y302" s="12" t="s">
        <v>3926</v>
      </c>
      <c r="Z302" s="33">
        <v>1.1000000000000001E-3</v>
      </c>
      <c r="AA302" s="12" t="s">
        <v>3926</v>
      </c>
      <c r="AB302" s="25">
        <v>1459</v>
      </c>
      <c r="AC302" s="25">
        <v>1048</v>
      </c>
      <c r="AD302" s="25">
        <v>3</v>
      </c>
      <c r="AE302" s="25">
        <v>0</v>
      </c>
      <c r="AF302" s="25">
        <v>404</v>
      </c>
      <c r="AG302" s="25">
        <v>4</v>
      </c>
      <c r="AH302" s="25">
        <v>0</v>
      </c>
      <c r="AI302" s="12">
        <v>3.32</v>
      </c>
      <c r="AJ302" s="25">
        <v>1135706</v>
      </c>
      <c r="AK302" s="25">
        <v>19023</v>
      </c>
      <c r="AL302" s="33">
        <v>1.7000000000000001E-2</v>
      </c>
      <c r="AM302" s="3" t="s">
        <v>2671</v>
      </c>
      <c r="AN302" s="12" t="s">
        <v>1212</v>
      </c>
      <c r="AO302" s="12" t="s">
        <v>1212</v>
      </c>
      <c r="AP302" s="12" t="str">
        <f>"365053451326"</f>
        <v>365053451326</v>
      </c>
      <c r="AQ302" s="12" t="s">
        <v>1211</v>
      </c>
      <c r="AR302" s="12" t="s">
        <v>1213</v>
      </c>
      <c r="AS302" s="12" t="s">
        <v>3608</v>
      </c>
      <c r="AT302" s="12" t="s">
        <v>3782</v>
      </c>
      <c r="AU302" s="12" t="s">
        <v>309</v>
      </c>
      <c r="AV302" s="12"/>
      <c r="AW302" s="12"/>
      <c r="AX302" s="12">
        <v>0</v>
      </c>
      <c r="AY302" s="12">
        <v>6277</v>
      </c>
      <c r="AZ302" s="12">
        <v>0</v>
      </c>
      <c r="BA302" s="12" t="s">
        <v>1214</v>
      </c>
      <c r="BB302" s="12" t="s">
        <v>5889</v>
      </c>
      <c r="BC302" s="12" t="s">
        <v>6789</v>
      </c>
      <c r="BD302" s="12" t="s">
        <v>1215</v>
      </c>
      <c r="BE302" s="12" t="s">
        <v>2291</v>
      </c>
      <c r="BF302" s="12"/>
      <c r="BG302" s="12"/>
      <c r="BH302" s="12"/>
      <c r="BI302" s="12"/>
      <c r="BJ302" s="12"/>
      <c r="BK302" s="12"/>
      <c r="BL302" s="12" t="s">
        <v>2292</v>
      </c>
      <c r="BM302" s="12" t="s">
        <v>2292</v>
      </c>
      <c r="BN302" s="12" t="s">
        <v>2292</v>
      </c>
      <c r="BO302" s="12" t="s">
        <v>2291</v>
      </c>
      <c r="BP302" s="12"/>
      <c r="BQ302" s="12"/>
      <c r="BR302" s="12"/>
      <c r="BS302" s="12"/>
      <c r="BT302" s="12">
        <v>94112354354</v>
      </c>
      <c r="BU302" s="12"/>
      <c r="BV302" s="12"/>
      <c r="BW302" s="12" t="s">
        <v>1216</v>
      </c>
      <c r="BX302" s="12"/>
      <c r="BY302" s="13" t="s">
        <v>313</v>
      </c>
      <c r="BZ302" s="13" t="s">
        <v>6172</v>
      </c>
      <c r="CA302" s="13"/>
      <c r="CB302" s="13"/>
      <c r="CC302" s="13"/>
      <c r="CD302" s="13"/>
      <c r="CE302" s="13"/>
      <c r="CF302" s="13"/>
    </row>
    <row r="303" spans="1:84" ht="18.600000000000001" customHeight="1" x14ac:dyDescent="0.25">
      <c r="A303" s="60" t="s">
        <v>108</v>
      </c>
      <c r="B303" s="2" t="s">
        <v>1223</v>
      </c>
      <c r="C303" s="3" t="s">
        <v>2940</v>
      </c>
      <c r="D303" s="12" t="s">
        <v>1218</v>
      </c>
      <c r="E303" s="12" t="s">
        <v>1219</v>
      </c>
      <c r="F303" s="12" t="s">
        <v>4333</v>
      </c>
      <c r="G303" s="25">
        <v>550932</v>
      </c>
      <c r="H303" s="25">
        <v>426996</v>
      </c>
      <c r="I303" s="25">
        <v>35362</v>
      </c>
      <c r="J303" s="25">
        <v>63805</v>
      </c>
      <c r="K303" s="25">
        <v>1904173</v>
      </c>
      <c r="L303" s="25">
        <v>739754</v>
      </c>
      <c r="M303" s="25">
        <v>2643927</v>
      </c>
      <c r="N303" s="31">
        <v>0.72</v>
      </c>
      <c r="O303" s="25">
        <v>73627</v>
      </c>
      <c r="P303" s="25">
        <v>101186</v>
      </c>
      <c r="Q303" s="25">
        <v>9929</v>
      </c>
      <c r="R303" s="25">
        <v>1487</v>
      </c>
      <c r="S303" s="25">
        <v>11190</v>
      </c>
      <c r="T303" s="25">
        <v>743</v>
      </c>
      <c r="U303" s="61">
        <v>1405</v>
      </c>
      <c r="V303" s="58">
        <v>1.8E-3</v>
      </c>
      <c r="W303" s="33">
        <v>2E-3</v>
      </c>
      <c r="X303" s="33">
        <v>1.9E-3</v>
      </c>
      <c r="Y303" s="33">
        <v>1.8E-3</v>
      </c>
      <c r="Z303" s="33">
        <v>1.6000000000000001E-3</v>
      </c>
      <c r="AA303" s="12" t="s">
        <v>3926</v>
      </c>
      <c r="AB303" s="25">
        <v>651</v>
      </c>
      <c r="AC303" s="25">
        <v>283</v>
      </c>
      <c r="AD303" s="25">
        <v>4</v>
      </c>
      <c r="AE303" s="25">
        <v>56</v>
      </c>
      <c r="AF303" s="25">
        <v>297</v>
      </c>
      <c r="AG303" s="25">
        <v>11</v>
      </c>
      <c r="AH303" s="25">
        <v>0</v>
      </c>
      <c r="AI303" s="12">
        <v>1.48</v>
      </c>
      <c r="AJ303" s="25">
        <v>536294</v>
      </c>
      <c r="AK303" s="25">
        <v>114519</v>
      </c>
      <c r="AL303" s="33">
        <v>0.27150000000000002</v>
      </c>
      <c r="AM303" s="3" t="s">
        <v>2940</v>
      </c>
      <c r="AN303" s="12" t="s">
        <v>1219</v>
      </c>
      <c r="AO303" s="12" t="s">
        <v>1219</v>
      </c>
      <c r="AP303" s="12" t="str">
        <f>"523651047734406"</f>
        <v>523651047734406</v>
      </c>
      <c r="AQ303" s="12" t="s">
        <v>1218</v>
      </c>
      <c r="AR303" s="12"/>
      <c r="AS303" s="12" t="s">
        <v>1220</v>
      </c>
      <c r="AT303" s="12" t="s">
        <v>2941</v>
      </c>
      <c r="AU303" s="12" t="s">
        <v>309</v>
      </c>
      <c r="AV303" s="12"/>
      <c r="AW303" s="12"/>
      <c r="AX303" s="12">
        <v>0</v>
      </c>
      <c r="AY303" s="12">
        <v>3989</v>
      </c>
      <c r="AZ303" s="12">
        <v>0</v>
      </c>
      <c r="BA303" s="12" t="s">
        <v>1221</v>
      </c>
      <c r="BB303" s="12" t="s">
        <v>5995</v>
      </c>
      <c r="BC303" s="12" t="s">
        <v>7184</v>
      </c>
      <c r="BD303" s="12" t="s">
        <v>1222</v>
      </c>
      <c r="BE303" s="12" t="s">
        <v>2291</v>
      </c>
      <c r="BF303" s="12"/>
      <c r="BG303" s="12"/>
      <c r="BH303" s="12"/>
      <c r="BI303" s="12"/>
      <c r="BJ303" s="12"/>
      <c r="BK303" s="12"/>
      <c r="BL303" s="12" t="s">
        <v>2292</v>
      </c>
      <c r="BM303" s="12" t="s">
        <v>2292</v>
      </c>
      <c r="BN303" s="12" t="s">
        <v>2292</v>
      </c>
      <c r="BO303" s="12" t="s">
        <v>2291</v>
      </c>
      <c r="BP303" s="12"/>
      <c r="BQ303" s="12"/>
      <c r="BR303" s="12" t="s">
        <v>2942</v>
      </c>
      <c r="BS303" s="12" t="s">
        <v>2943</v>
      </c>
      <c r="BT303" s="12"/>
      <c r="BU303" s="12"/>
      <c r="BV303" s="12"/>
      <c r="BW303" s="12" t="s">
        <v>3468</v>
      </c>
      <c r="BX303" s="12"/>
      <c r="BY303" s="13" t="s">
        <v>313</v>
      </c>
      <c r="BZ303" s="13" t="s">
        <v>312</v>
      </c>
      <c r="CA303" s="13"/>
      <c r="CB303" s="13"/>
      <c r="CC303" s="13"/>
      <c r="CD303" s="13"/>
      <c r="CE303" s="13"/>
      <c r="CF303" s="13"/>
    </row>
    <row r="304" spans="1:84" ht="18.600000000000001" customHeight="1" x14ac:dyDescent="0.25">
      <c r="A304" s="36" t="s">
        <v>108</v>
      </c>
      <c r="B304" s="6" t="s">
        <v>315</v>
      </c>
      <c r="C304" s="10" t="s">
        <v>3871</v>
      </c>
      <c r="D304" s="12" t="s">
        <v>4360</v>
      </c>
      <c r="E304" s="12" t="s">
        <v>4361</v>
      </c>
      <c r="F304" s="12" t="s">
        <v>4362</v>
      </c>
      <c r="G304" s="25">
        <v>6</v>
      </c>
      <c r="H304" s="25">
        <v>6</v>
      </c>
      <c r="I304" s="25">
        <v>0</v>
      </c>
      <c r="J304" s="25">
        <v>0</v>
      </c>
      <c r="K304" s="25">
        <v>0</v>
      </c>
      <c r="L304" s="25">
        <v>0</v>
      </c>
      <c r="M304" s="25">
        <v>0</v>
      </c>
      <c r="N304" s="31">
        <v>0</v>
      </c>
      <c r="O304" s="25">
        <v>0</v>
      </c>
      <c r="P304" s="25">
        <v>0</v>
      </c>
      <c r="Q304" s="25">
        <v>0</v>
      </c>
      <c r="R304" s="25">
        <v>0</v>
      </c>
      <c r="S304" s="25">
        <v>0</v>
      </c>
      <c r="T304" s="25">
        <v>0</v>
      </c>
      <c r="U304" s="61">
        <v>0</v>
      </c>
      <c r="V304" s="58">
        <v>2.9999999999999997E-4</v>
      </c>
      <c r="W304" s="12" t="s">
        <v>3926</v>
      </c>
      <c r="X304" s="33">
        <v>2.9999999999999997E-4</v>
      </c>
      <c r="Y304" s="12" t="s">
        <v>3926</v>
      </c>
      <c r="Z304" s="12" t="s">
        <v>3926</v>
      </c>
      <c r="AA304" s="12" t="s">
        <v>3926</v>
      </c>
      <c r="AB304" s="25">
        <v>1</v>
      </c>
      <c r="AC304" s="25">
        <v>0</v>
      </c>
      <c r="AD304" s="25">
        <v>1</v>
      </c>
      <c r="AE304" s="25">
        <v>0</v>
      </c>
      <c r="AF304" s="25">
        <v>0</v>
      </c>
      <c r="AG304" s="25">
        <v>0</v>
      </c>
      <c r="AH304" s="25">
        <v>0</v>
      </c>
      <c r="AI304" s="12">
        <v>0</v>
      </c>
      <c r="AJ304" s="25">
        <v>20989</v>
      </c>
      <c r="AK304" s="25">
        <v>880</v>
      </c>
      <c r="AL304" s="33">
        <v>4.3799999999999999E-2</v>
      </c>
      <c r="AM304" s="10" t="s">
        <v>3871</v>
      </c>
      <c r="AN304" s="12" t="s">
        <v>4361</v>
      </c>
      <c r="AO304" s="12" t="s">
        <v>4361</v>
      </c>
      <c r="AP304" s="12" t="str">
        <f>"151169228395379"</f>
        <v>151169228395379</v>
      </c>
      <c r="AQ304" s="12" t="s">
        <v>4360</v>
      </c>
      <c r="AR304" s="12" t="s">
        <v>4636</v>
      </c>
      <c r="AS304" s="12" t="s">
        <v>4637</v>
      </c>
      <c r="AT304" s="12"/>
      <c r="AU304" s="12" t="s">
        <v>324</v>
      </c>
      <c r="AV304" s="12"/>
      <c r="AW304" s="12"/>
      <c r="AX304" s="12">
        <v>0</v>
      </c>
      <c r="AY304" s="12">
        <v>17</v>
      </c>
      <c r="AZ304" s="12">
        <v>0</v>
      </c>
      <c r="BA304" s="12" t="s">
        <v>4638</v>
      </c>
      <c r="BB304" s="12" t="s">
        <v>5889</v>
      </c>
      <c r="BC304" s="12" t="s">
        <v>7245</v>
      </c>
      <c r="BD304" s="12"/>
      <c r="BE304" s="12" t="s">
        <v>2291</v>
      </c>
      <c r="BF304" s="12"/>
      <c r="BG304" s="12"/>
      <c r="BH304" s="12"/>
      <c r="BI304" s="12" t="s">
        <v>4639</v>
      </c>
      <c r="BJ304" s="12"/>
      <c r="BK304" s="12"/>
      <c r="BL304" s="12" t="s">
        <v>2292</v>
      </c>
      <c r="BM304" s="12" t="s">
        <v>2292</v>
      </c>
      <c r="BN304" s="12" t="s">
        <v>2292</v>
      </c>
      <c r="BO304" s="12" t="s">
        <v>2292</v>
      </c>
      <c r="BP304" s="12"/>
      <c r="BQ304" s="12"/>
      <c r="BR304" s="12"/>
      <c r="BS304" s="12"/>
      <c r="BT304" s="12"/>
      <c r="BU304" s="12"/>
      <c r="BV304" s="12"/>
      <c r="BW304" s="12" t="s">
        <v>1216</v>
      </c>
      <c r="BX304" s="12"/>
      <c r="BY304" s="2" t="s">
        <v>344</v>
      </c>
      <c r="BZ304" s="13" t="s">
        <v>6170</v>
      </c>
      <c r="CA304" s="13" t="s">
        <v>6170</v>
      </c>
      <c r="CB304" s="13" t="s">
        <v>312</v>
      </c>
      <c r="CC304" s="13"/>
      <c r="CD304" s="13" t="s">
        <v>6198</v>
      </c>
      <c r="CE304" s="13"/>
      <c r="CF304" s="13"/>
    </row>
    <row r="305" spans="1:84" ht="18.600000000000001" customHeight="1" x14ac:dyDescent="0.25">
      <c r="A305" s="60" t="s">
        <v>108</v>
      </c>
      <c r="B305" s="2" t="s">
        <v>5057</v>
      </c>
      <c r="C305" s="3" t="s">
        <v>6089</v>
      </c>
      <c r="D305" s="12" t="s">
        <v>5056</v>
      </c>
      <c r="E305" s="12" t="s">
        <v>5672</v>
      </c>
      <c r="F305" s="12" t="s">
        <v>5554</v>
      </c>
      <c r="G305" s="25">
        <v>155235</v>
      </c>
      <c r="H305" s="25">
        <v>138014</v>
      </c>
      <c r="I305" s="25">
        <v>4770</v>
      </c>
      <c r="J305" s="25">
        <v>6428</v>
      </c>
      <c r="K305" s="25">
        <v>254972</v>
      </c>
      <c r="L305" s="25">
        <v>114156</v>
      </c>
      <c r="M305" s="25">
        <v>369128</v>
      </c>
      <c r="N305" s="31">
        <v>0.69</v>
      </c>
      <c r="O305" s="25">
        <v>4750</v>
      </c>
      <c r="P305" s="25">
        <v>12269</v>
      </c>
      <c r="Q305" s="25">
        <v>1451</v>
      </c>
      <c r="R305" s="25">
        <v>394</v>
      </c>
      <c r="S305" s="25">
        <v>3480</v>
      </c>
      <c r="T305" s="25">
        <v>159</v>
      </c>
      <c r="U305" s="61">
        <v>539</v>
      </c>
      <c r="V305" s="58">
        <v>2E-3</v>
      </c>
      <c r="W305" s="33">
        <v>3.0000000000000001E-3</v>
      </c>
      <c r="X305" s="33">
        <v>1.8E-3</v>
      </c>
      <c r="Y305" s="33">
        <v>4.3E-3</v>
      </c>
      <c r="Z305" s="33">
        <v>8.0000000000000004E-4</v>
      </c>
      <c r="AA305" s="33">
        <v>2.0000000000000001E-4</v>
      </c>
      <c r="AB305" s="25">
        <v>394</v>
      </c>
      <c r="AC305" s="25">
        <v>262</v>
      </c>
      <c r="AD305" s="25">
        <v>25</v>
      </c>
      <c r="AE305" s="25">
        <v>8</v>
      </c>
      <c r="AF305" s="25">
        <v>79</v>
      </c>
      <c r="AG305" s="25">
        <v>15</v>
      </c>
      <c r="AH305" s="25">
        <v>5</v>
      </c>
      <c r="AI305" s="12">
        <v>0.9</v>
      </c>
      <c r="AJ305" s="25">
        <v>263758</v>
      </c>
      <c r="AK305" s="25">
        <v>0</v>
      </c>
      <c r="AL305" s="31">
        <v>0</v>
      </c>
      <c r="AM305" s="3" t="s">
        <v>6089</v>
      </c>
      <c r="AN305" s="12" t="s">
        <v>5672</v>
      </c>
      <c r="AO305" s="12" t="s">
        <v>5672</v>
      </c>
      <c r="AP305" s="12" t="str">
        <f>"448076432006936"</f>
        <v>448076432006936</v>
      </c>
      <c r="AQ305" s="12" t="s">
        <v>5056</v>
      </c>
      <c r="AR305" s="12" t="s">
        <v>6138</v>
      </c>
      <c r="AS305" s="12" t="s">
        <v>6139</v>
      </c>
      <c r="AT305" s="12" t="s">
        <v>6140</v>
      </c>
      <c r="AU305" s="12" t="s">
        <v>309</v>
      </c>
      <c r="AV305" s="12"/>
      <c r="AW305" s="12"/>
      <c r="AX305" s="12">
        <v>0</v>
      </c>
      <c r="AY305" s="12">
        <v>41</v>
      </c>
      <c r="AZ305" s="12">
        <v>0</v>
      </c>
      <c r="BA305" s="12" t="s">
        <v>6141</v>
      </c>
      <c r="BB305" s="12" t="s">
        <v>7186</v>
      </c>
      <c r="BC305" s="12" t="s">
        <v>7187</v>
      </c>
      <c r="BD305" s="12"/>
      <c r="BE305" s="12" t="s">
        <v>2291</v>
      </c>
      <c r="BF305" s="12"/>
      <c r="BG305" s="12"/>
      <c r="BH305" s="12"/>
      <c r="BI305" s="12" t="s">
        <v>6142</v>
      </c>
      <c r="BJ305" s="12"/>
      <c r="BK305" s="12"/>
      <c r="BL305" s="12" t="s">
        <v>2292</v>
      </c>
      <c r="BM305" s="12" t="s">
        <v>2292</v>
      </c>
      <c r="BN305" s="12" t="s">
        <v>2292</v>
      </c>
      <c r="BO305" s="12" t="s">
        <v>2291</v>
      </c>
      <c r="BP305" s="12"/>
      <c r="BQ305" s="12"/>
      <c r="BR305" s="12"/>
      <c r="BS305" s="12"/>
      <c r="BT305" s="12">
        <v>94112872287</v>
      </c>
      <c r="BU305" s="12"/>
      <c r="BV305" s="12"/>
      <c r="BW305" s="12" t="s">
        <v>6143</v>
      </c>
      <c r="BX305" s="12"/>
      <c r="BY305" s="13" t="s">
        <v>313</v>
      </c>
      <c r="BZ305" s="13" t="s">
        <v>6170</v>
      </c>
      <c r="CA305" s="13" t="s">
        <v>6170</v>
      </c>
      <c r="CB305" s="13" t="s">
        <v>6201</v>
      </c>
      <c r="CC305" s="13"/>
      <c r="CD305" s="13" t="s">
        <v>6204</v>
      </c>
      <c r="CE305" s="13"/>
      <c r="CF305" s="13"/>
    </row>
    <row r="306" spans="1:84" ht="18.600000000000001" customHeight="1" x14ac:dyDescent="0.25">
      <c r="A306" s="60" t="s">
        <v>108</v>
      </c>
      <c r="B306" s="2" t="s">
        <v>335</v>
      </c>
      <c r="C306" s="3" t="s">
        <v>5058</v>
      </c>
      <c r="D306" s="12" t="s">
        <v>1224</v>
      </c>
      <c r="E306" s="12" t="s">
        <v>5126</v>
      </c>
      <c r="F306" s="12" t="s">
        <v>4487</v>
      </c>
      <c r="G306" s="25">
        <v>10403</v>
      </c>
      <c r="H306" s="25">
        <v>6207</v>
      </c>
      <c r="I306" s="25">
        <v>281</v>
      </c>
      <c r="J306" s="25">
        <v>3588</v>
      </c>
      <c r="K306" s="25">
        <v>6724</v>
      </c>
      <c r="L306" s="25">
        <v>13405</v>
      </c>
      <c r="M306" s="25">
        <v>20129</v>
      </c>
      <c r="N306" s="31">
        <v>0.33</v>
      </c>
      <c r="O306" s="25">
        <v>1036</v>
      </c>
      <c r="P306" s="25">
        <v>211</v>
      </c>
      <c r="Q306" s="25">
        <v>93</v>
      </c>
      <c r="R306" s="25">
        <v>18</v>
      </c>
      <c r="S306" s="25">
        <v>66</v>
      </c>
      <c r="T306" s="25">
        <v>34</v>
      </c>
      <c r="U306" s="61">
        <v>116</v>
      </c>
      <c r="V306" s="58">
        <v>3.8999999999999998E-3</v>
      </c>
      <c r="W306" s="33">
        <v>4.1999999999999997E-3</v>
      </c>
      <c r="X306" s="33">
        <v>1.5E-3</v>
      </c>
      <c r="Y306" s="33">
        <v>1.1000000000000001E-3</v>
      </c>
      <c r="Z306" s="33">
        <v>7.6E-3</v>
      </c>
      <c r="AA306" s="33">
        <v>2.2000000000000001E-3</v>
      </c>
      <c r="AB306" s="25">
        <v>363</v>
      </c>
      <c r="AC306" s="25">
        <v>279</v>
      </c>
      <c r="AD306" s="25">
        <v>19</v>
      </c>
      <c r="AE306" s="25">
        <v>23</v>
      </c>
      <c r="AF306" s="25">
        <v>13</v>
      </c>
      <c r="AG306" s="25">
        <v>3</v>
      </c>
      <c r="AH306" s="25">
        <v>26</v>
      </c>
      <c r="AI306" s="12">
        <v>0.83</v>
      </c>
      <c r="AJ306" s="25">
        <v>9299</v>
      </c>
      <c r="AK306" s="25">
        <v>3921</v>
      </c>
      <c r="AL306" s="33">
        <v>0.72909999999999997</v>
      </c>
      <c r="AM306" s="3" t="s">
        <v>5058</v>
      </c>
      <c r="AN306" s="12" t="s">
        <v>5126</v>
      </c>
      <c r="AO306" s="12" t="s">
        <v>5126</v>
      </c>
      <c r="AP306" s="12" t="str">
        <f>"787702567985352"</f>
        <v>787702567985352</v>
      </c>
      <c r="AQ306" s="12" t="s">
        <v>1224</v>
      </c>
      <c r="AR306" s="12" t="s">
        <v>5359</v>
      </c>
      <c r="AS306" s="12" t="s">
        <v>1225</v>
      </c>
      <c r="AT306" s="12"/>
      <c r="AU306" s="12" t="s">
        <v>324</v>
      </c>
      <c r="AV306" s="12" t="s">
        <v>5731</v>
      </c>
      <c r="AW306" s="12"/>
      <c r="AX306" s="12">
        <v>2339</v>
      </c>
      <c r="AY306" s="12">
        <v>61</v>
      </c>
      <c r="AZ306" s="12">
        <v>2339</v>
      </c>
      <c r="BA306" s="12" t="s">
        <v>5360</v>
      </c>
      <c r="BB306" s="12" t="s">
        <v>6817</v>
      </c>
      <c r="BC306" s="12" t="s">
        <v>6818</v>
      </c>
      <c r="BD306" s="12"/>
      <c r="BE306" s="12" t="s">
        <v>2291</v>
      </c>
      <c r="BF306" s="12"/>
      <c r="BG306" s="12"/>
      <c r="BH306" s="12"/>
      <c r="BI306" s="12" t="s">
        <v>3638</v>
      </c>
      <c r="BJ306" s="12"/>
      <c r="BK306" s="12"/>
      <c r="BL306" s="12" t="s">
        <v>2292</v>
      </c>
      <c r="BM306" s="12" t="s">
        <v>2292</v>
      </c>
      <c r="BN306" s="12" t="s">
        <v>2292</v>
      </c>
      <c r="BO306" s="12" t="s">
        <v>2291</v>
      </c>
      <c r="BP306" s="12"/>
      <c r="BQ306" s="12"/>
      <c r="BR306" s="12"/>
      <c r="BS306" s="12"/>
      <c r="BT306" s="12" t="s">
        <v>3838</v>
      </c>
      <c r="BU306" s="12" t="s">
        <v>326</v>
      </c>
      <c r="BV306" s="12"/>
      <c r="BW306" s="12" t="s">
        <v>4602</v>
      </c>
      <c r="BX306" s="12"/>
      <c r="BY306" s="13" t="s">
        <v>313</v>
      </c>
      <c r="BZ306" s="13" t="s">
        <v>312</v>
      </c>
      <c r="CA306" s="13"/>
      <c r="CB306" s="13"/>
      <c r="CC306" s="13"/>
      <c r="CD306" s="13"/>
      <c r="CE306" s="13"/>
      <c r="CF306" s="13"/>
    </row>
    <row r="307" spans="1:84" ht="18.600000000000001" customHeight="1" x14ac:dyDescent="0.25">
      <c r="A307" s="60" t="s">
        <v>109</v>
      </c>
      <c r="B307" s="2" t="s">
        <v>314</v>
      </c>
      <c r="C307" s="3" t="s">
        <v>3016</v>
      </c>
      <c r="D307" s="12" t="s">
        <v>1227</v>
      </c>
      <c r="E307" s="12" t="s">
        <v>1226</v>
      </c>
      <c r="F307" s="12" t="s">
        <v>4378</v>
      </c>
      <c r="G307" s="25">
        <v>4574933</v>
      </c>
      <c r="H307" s="25">
        <v>3450947</v>
      </c>
      <c r="I307" s="25">
        <v>251016</v>
      </c>
      <c r="J307" s="25">
        <v>582499</v>
      </c>
      <c r="K307" s="25">
        <v>25402574</v>
      </c>
      <c r="L307" s="25">
        <v>29799276</v>
      </c>
      <c r="M307" s="25">
        <v>55201850</v>
      </c>
      <c r="N307" s="31">
        <v>0.46</v>
      </c>
      <c r="O307" s="25">
        <v>0</v>
      </c>
      <c r="P307" s="25">
        <v>58231</v>
      </c>
      <c r="Q307" s="25">
        <v>263646</v>
      </c>
      <c r="R307" s="25">
        <v>9100</v>
      </c>
      <c r="S307" s="25">
        <v>8554</v>
      </c>
      <c r="T307" s="25">
        <v>4507</v>
      </c>
      <c r="U307" s="61">
        <v>4623</v>
      </c>
      <c r="V307" s="58">
        <v>1.29E-2</v>
      </c>
      <c r="W307" s="33">
        <v>1.0800000000000001E-2</v>
      </c>
      <c r="X307" s="33">
        <v>6.3E-3</v>
      </c>
      <c r="Y307" s="33">
        <v>2.5999999999999999E-3</v>
      </c>
      <c r="Z307" s="33">
        <v>7.7999999999999996E-3</v>
      </c>
      <c r="AA307" s="12" t="s">
        <v>3926</v>
      </c>
      <c r="AB307" s="25">
        <v>348</v>
      </c>
      <c r="AC307" s="25">
        <v>263</v>
      </c>
      <c r="AD307" s="25">
        <v>1</v>
      </c>
      <c r="AE307" s="25">
        <v>9</v>
      </c>
      <c r="AF307" s="25">
        <v>75</v>
      </c>
      <c r="AG307" s="25">
        <v>0</v>
      </c>
      <c r="AH307" s="25">
        <v>0</v>
      </c>
      <c r="AI307" s="12">
        <v>0.79</v>
      </c>
      <c r="AJ307" s="25">
        <v>1273358</v>
      </c>
      <c r="AK307" s="25">
        <v>557063</v>
      </c>
      <c r="AL307" s="33">
        <v>0.77769999999999995</v>
      </c>
      <c r="AM307" s="3" t="s">
        <v>3016</v>
      </c>
      <c r="AN307" s="12" t="s">
        <v>1226</v>
      </c>
      <c r="AO307" s="12" t="s">
        <v>1226</v>
      </c>
      <c r="AP307" s="12" t="str">
        <f>"533376740039496"</f>
        <v>533376740039496</v>
      </c>
      <c r="AQ307" s="12" t="s">
        <v>1227</v>
      </c>
      <c r="AR307" s="12"/>
      <c r="AS307" s="12" t="s">
        <v>1228</v>
      </c>
      <c r="AT307" s="12"/>
      <c r="AU307" s="12" t="s">
        <v>367</v>
      </c>
      <c r="AV307" s="12" t="s">
        <v>7282</v>
      </c>
      <c r="AW307" s="12"/>
      <c r="AX307" s="12">
        <v>3178</v>
      </c>
      <c r="AY307" s="12">
        <v>44576</v>
      </c>
      <c r="AZ307" s="12">
        <v>0</v>
      </c>
      <c r="BA307" s="12" t="s">
        <v>1229</v>
      </c>
      <c r="BB307" s="12" t="s">
        <v>7283</v>
      </c>
      <c r="BC307" s="12" t="s">
        <v>7284</v>
      </c>
      <c r="BD307" s="12"/>
      <c r="BE307" s="12" t="s">
        <v>2291</v>
      </c>
      <c r="BF307" s="12"/>
      <c r="BG307" s="12"/>
      <c r="BH307" s="12"/>
      <c r="BI307" s="12" t="s">
        <v>3690</v>
      </c>
      <c r="BJ307" s="12"/>
      <c r="BK307" s="12"/>
      <c r="BL307" s="12" t="s">
        <v>2292</v>
      </c>
      <c r="BM307" s="12" t="s">
        <v>2292</v>
      </c>
      <c r="BN307" s="12" t="s">
        <v>2292</v>
      </c>
      <c r="BO307" s="12" t="s">
        <v>2292</v>
      </c>
      <c r="BP307" s="12"/>
      <c r="BQ307" s="12"/>
      <c r="BR307" s="12"/>
      <c r="BS307" s="12"/>
      <c r="BT307" s="12"/>
      <c r="BU307" s="12" t="s">
        <v>326</v>
      </c>
      <c r="BV307" s="12"/>
      <c r="BW307" s="12" t="s">
        <v>5471</v>
      </c>
      <c r="BX307" s="12"/>
      <c r="BY307" s="13" t="s">
        <v>313</v>
      </c>
      <c r="BZ307" s="13" t="s">
        <v>312</v>
      </c>
      <c r="CA307" s="13"/>
      <c r="CB307" s="13"/>
      <c r="CC307" s="13"/>
      <c r="CD307" s="13"/>
      <c r="CE307" s="13"/>
      <c r="CF307" s="13"/>
    </row>
    <row r="308" spans="1:84" ht="18.600000000000001" customHeight="1" x14ac:dyDescent="0.25">
      <c r="A308" s="60" t="s">
        <v>110</v>
      </c>
      <c r="B308" s="2" t="s">
        <v>314</v>
      </c>
      <c r="C308" s="3" t="s">
        <v>2643</v>
      </c>
      <c r="D308" s="12" t="s">
        <v>1231</v>
      </c>
      <c r="E308" s="12" t="s">
        <v>1230</v>
      </c>
      <c r="F308" s="12" t="s">
        <v>4134</v>
      </c>
      <c r="G308" s="25">
        <v>273571</v>
      </c>
      <c r="H308" s="25">
        <v>208940</v>
      </c>
      <c r="I308" s="25">
        <v>4950</v>
      </c>
      <c r="J308" s="25">
        <v>51646</v>
      </c>
      <c r="K308" s="25">
        <v>336637</v>
      </c>
      <c r="L308" s="25">
        <v>314371</v>
      </c>
      <c r="M308" s="25">
        <v>651008</v>
      </c>
      <c r="N308" s="31">
        <v>0.52</v>
      </c>
      <c r="O308" s="25">
        <v>0</v>
      </c>
      <c r="P308" s="25">
        <v>0</v>
      </c>
      <c r="Q308" s="25">
        <v>7308</v>
      </c>
      <c r="R308" s="25">
        <v>238</v>
      </c>
      <c r="S308" s="25">
        <v>109</v>
      </c>
      <c r="T308" s="25">
        <v>314</v>
      </c>
      <c r="U308" s="61">
        <v>42</v>
      </c>
      <c r="V308" s="58">
        <v>1.49E-2</v>
      </c>
      <c r="W308" s="33">
        <v>1.7399999999999999E-2</v>
      </c>
      <c r="X308" s="33">
        <v>5.5999999999999999E-3</v>
      </c>
      <c r="Y308" s="12" t="s">
        <v>3926</v>
      </c>
      <c r="Z308" s="33">
        <v>1.52E-2</v>
      </c>
      <c r="AA308" s="33">
        <v>5.1999999999999998E-3</v>
      </c>
      <c r="AB308" s="25">
        <v>569</v>
      </c>
      <c r="AC308" s="25">
        <v>365</v>
      </c>
      <c r="AD308" s="25">
        <v>95</v>
      </c>
      <c r="AE308" s="25">
        <v>0</v>
      </c>
      <c r="AF308" s="25">
        <v>106</v>
      </c>
      <c r="AG308" s="25">
        <v>0</v>
      </c>
      <c r="AH308" s="25">
        <v>3</v>
      </c>
      <c r="AI308" s="12">
        <v>1.3</v>
      </c>
      <c r="AJ308" s="25">
        <v>40673</v>
      </c>
      <c r="AK308" s="25">
        <v>17362</v>
      </c>
      <c r="AL308" s="33">
        <v>0.74480000000000002</v>
      </c>
      <c r="AM308" s="3" t="s">
        <v>2643</v>
      </c>
      <c r="AN308" s="12" t="s">
        <v>1230</v>
      </c>
      <c r="AO308" s="12" t="s">
        <v>1230</v>
      </c>
      <c r="AP308" s="12" t="str">
        <f>"265358923534301"</f>
        <v>265358923534301</v>
      </c>
      <c r="AQ308" s="12" t="s">
        <v>1231</v>
      </c>
      <c r="AR308" s="12" t="s">
        <v>1232</v>
      </c>
      <c r="AS308" s="12" t="s">
        <v>1232</v>
      </c>
      <c r="AT308" s="12"/>
      <c r="AU308" s="12" t="s">
        <v>4561</v>
      </c>
      <c r="AV308" s="12" t="s">
        <v>5874</v>
      </c>
      <c r="AW308" s="12"/>
      <c r="AX308" s="12">
        <v>1</v>
      </c>
      <c r="AY308" s="12">
        <v>27413</v>
      </c>
      <c r="AZ308" s="12">
        <v>0</v>
      </c>
      <c r="BA308" s="12" t="s">
        <v>1233</v>
      </c>
      <c r="BB308" s="12" t="s">
        <v>6737</v>
      </c>
      <c r="BC308" s="12" t="s">
        <v>6738</v>
      </c>
      <c r="BD308" s="12"/>
      <c r="BE308" s="12" t="s">
        <v>2291</v>
      </c>
      <c r="BF308" s="12"/>
      <c r="BG308" s="12"/>
      <c r="BH308" s="12"/>
      <c r="BI308" s="12" t="s">
        <v>2644</v>
      </c>
      <c r="BJ308" s="12"/>
      <c r="BK308" s="12"/>
      <c r="BL308" s="12" t="s">
        <v>2292</v>
      </c>
      <c r="BM308" s="12" t="s">
        <v>2292</v>
      </c>
      <c r="BN308" s="12" t="s">
        <v>2292</v>
      </c>
      <c r="BO308" s="12" t="s">
        <v>2292</v>
      </c>
      <c r="BP308" s="12"/>
      <c r="BQ308" s="12"/>
      <c r="BR308" s="12"/>
      <c r="BS308" s="12"/>
      <c r="BT308" s="12">
        <v>992372212520</v>
      </c>
      <c r="BU308" s="12" t="s">
        <v>326</v>
      </c>
      <c r="BV308" s="12"/>
      <c r="BW308" s="12" t="s">
        <v>5336</v>
      </c>
      <c r="BX308" s="12"/>
      <c r="BY308" s="13" t="s">
        <v>313</v>
      </c>
      <c r="BZ308" s="13" t="s">
        <v>6170</v>
      </c>
      <c r="CA308" s="13" t="s">
        <v>6170</v>
      </c>
      <c r="CB308" s="13" t="s">
        <v>6201</v>
      </c>
      <c r="CC308" s="13"/>
      <c r="CD308" s="13" t="s">
        <v>6198</v>
      </c>
      <c r="CE308" s="13"/>
      <c r="CF308" s="13"/>
    </row>
    <row r="309" spans="1:84" ht="18.600000000000001" customHeight="1" x14ac:dyDescent="0.25">
      <c r="A309" s="60" t="s">
        <v>110</v>
      </c>
      <c r="B309" s="2" t="s">
        <v>335</v>
      </c>
      <c r="C309" s="3" t="s">
        <v>2695</v>
      </c>
      <c r="D309" s="12" t="s">
        <v>1235</v>
      </c>
      <c r="E309" s="12" t="s">
        <v>1234</v>
      </c>
      <c r="F309" s="12" t="s">
        <v>4174</v>
      </c>
      <c r="G309" s="25">
        <v>37162</v>
      </c>
      <c r="H309" s="25">
        <v>32295</v>
      </c>
      <c r="I309" s="25">
        <v>215</v>
      </c>
      <c r="J309" s="25">
        <v>4105</v>
      </c>
      <c r="K309" s="25">
        <v>16515</v>
      </c>
      <c r="L309" s="25">
        <v>18750</v>
      </c>
      <c r="M309" s="25">
        <v>35265</v>
      </c>
      <c r="N309" s="31">
        <v>0.47</v>
      </c>
      <c r="O309" s="25">
        <v>0</v>
      </c>
      <c r="P309" s="25">
        <v>0</v>
      </c>
      <c r="Q309" s="25">
        <v>511</v>
      </c>
      <c r="R309" s="25">
        <v>21</v>
      </c>
      <c r="S309" s="25">
        <v>11</v>
      </c>
      <c r="T309" s="25">
        <v>1</v>
      </c>
      <c r="U309" s="61">
        <v>2</v>
      </c>
      <c r="V309" s="58">
        <v>4.1999999999999997E-3</v>
      </c>
      <c r="W309" s="33">
        <v>4.4000000000000003E-3</v>
      </c>
      <c r="X309" s="33">
        <v>2.2000000000000001E-3</v>
      </c>
      <c r="Y309" s="33">
        <v>1.4E-3</v>
      </c>
      <c r="Z309" s="33">
        <v>1.0500000000000001E-2</v>
      </c>
      <c r="AA309" s="12" t="s">
        <v>3926</v>
      </c>
      <c r="AB309" s="25">
        <v>843</v>
      </c>
      <c r="AC309" s="25">
        <v>722</v>
      </c>
      <c r="AD309" s="25">
        <v>39</v>
      </c>
      <c r="AE309" s="25">
        <v>60</v>
      </c>
      <c r="AF309" s="25">
        <v>22</v>
      </c>
      <c r="AG309" s="25">
        <v>0</v>
      </c>
      <c r="AH309" s="25">
        <v>0</v>
      </c>
      <c r="AI309" s="12">
        <v>1.92</v>
      </c>
      <c r="AJ309" s="25">
        <v>11774</v>
      </c>
      <c r="AK309" s="25">
        <v>3150</v>
      </c>
      <c r="AL309" s="33">
        <v>0.36530000000000001</v>
      </c>
      <c r="AM309" s="3" t="s">
        <v>2695</v>
      </c>
      <c r="AN309" s="12" t="s">
        <v>1234</v>
      </c>
      <c r="AO309" s="12" t="s">
        <v>1234</v>
      </c>
      <c r="AP309" s="12" t="str">
        <f>"1452146435004240"</f>
        <v>1452146435004240</v>
      </c>
      <c r="AQ309" s="12" t="s">
        <v>1235</v>
      </c>
      <c r="AR309" s="12" t="s">
        <v>1236</v>
      </c>
      <c r="AS309" s="12" t="s">
        <v>2696</v>
      </c>
      <c r="AT309" s="12"/>
      <c r="AU309" s="12" t="s">
        <v>324</v>
      </c>
      <c r="AV309" s="12" t="s">
        <v>5900</v>
      </c>
      <c r="AW309" s="12" t="s">
        <v>1237</v>
      </c>
      <c r="AX309" s="12">
        <v>148</v>
      </c>
      <c r="AY309" s="12">
        <v>1835</v>
      </c>
      <c r="AZ309" s="12">
        <v>148</v>
      </c>
      <c r="BA309" s="12" t="s">
        <v>1238</v>
      </c>
      <c r="BB309" s="12" t="s">
        <v>6823</v>
      </c>
      <c r="BC309" s="12" t="s">
        <v>6824</v>
      </c>
      <c r="BD309" s="12"/>
      <c r="BE309" s="12" t="s">
        <v>2291</v>
      </c>
      <c r="BF309" s="12"/>
      <c r="BG309" s="12"/>
      <c r="BH309" s="12"/>
      <c r="BI309" s="12" t="s">
        <v>2697</v>
      </c>
      <c r="BJ309" s="12"/>
      <c r="BK309" s="12"/>
      <c r="BL309" s="12" t="s">
        <v>2292</v>
      </c>
      <c r="BM309" s="12" t="s">
        <v>2292</v>
      </c>
      <c r="BN309" s="12" t="s">
        <v>2292</v>
      </c>
      <c r="BO309" s="12" t="s">
        <v>2292</v>
      </c>
      <c r="BP309" s="12"/>
      <c r="BQ309" s="12"/>
      <c r="BR309" s="12"/>
      <c r="BS309" s="12"/>
      <c r="BT309" s="12" t="s">
        <v>5901</v>
      </c>
      <c r="BU309" s="12" t="s">
        <v>3750</v>
      </c>
      <c r="BV309" s="12"/>
      <c r="BW309" s="12" t="s">
        <v>1239</v>
      </c>
      <c r="BX309" s="12"/>
      <c r="BY309" s="13" t="s">
        <v>313</v>
      </c>
      <c r="BZ309" s="13" t="s">
        <v>6170</v>
      </c>
      <c r="CA309" s="13" t="s">
        <v>6170</v>
      </c>
      <c r="CB309" s="13" t="s">
        <v>6199</v>
      </c>
      <c r="CC309" s="13"/>
      <c r="CD309" s="13" t="s">
        <v>6198</v>
      </c>
      <c r="CE309" s="13"/>
      <c r="CF309" s="13" t="s">
        <v>6178</v>
      </c>
    </row>
    <row r="310" spans="1:84" ht="18.600000000000001" customHeight="1" x14ac:dyDescent="0.25">
      <c r="A310" s="60" t="s">
        <v>111</v>
      </c>
      <c r="B310" s="2" t="s">
        <v>315</v>
      </c>
      <c r="C310" s="4" t="s">
        <v>5549</v>
      </c>
      <c r="D310" s="12" t="s">
        <v>4793</v>
      </c>
      <c r="E310" s="12" t="s">
        <v>5545</v>
      </c>
      <c r="F310" s="12" t="s">
        <v>4794</v>
      </c>
      <c r="G310" s="25">
        <v>253198</v>
      </c>
      <c r="H310" s="25">
        <v>192979</v>
      </c>
      <c r="I310" s="25">
        <v>12001</v>
      </c>
      <c r="J310" s="25">
        <v>35781</v>
      </c>
      <c r="K310" s="25">
        <v>95323</v>
      </c>
      <c r="L310" s="25">
        <v>109947</v>
      </c>
      <c r="M310" s="25">
        <v>205270</v>
      </c>
      <c r="N310" s="31">
        <v>0.46</v>
      </c>
      <c r="O310" s="25">
        <v>1634</v>
      </c>
      <c r="P310" s="25">
        <v>61126</v>
      </c>
      <c r="Q310" s="25">
        <v>7193</v>
      </c>
      <c r="R310" s="25">
        <v>988</v>
      </c>
      <c r="S310" s="25">
        <v>3438</v>
      </c>
      <c r="T310" s="25">
        <v>398</v>
      </c>
      <c r="U310" s="61">
        <v>420</v>
      </c>
      <c r="V310" s="58">
        <v>1.3599999999999999E-2</v>
      </c>
      <c r="W310" s="33">
        <v>1.77E-2</v>
      </c>
      <c r="X310" s="33">
        <v>1.14E-2</v>
      </c>
      <c r="Y310" s="33">
        <v>2.2000000000000001E-3</v>
      </c>
      <c r="Z310" s="33">
        <v>8.9999999999999993E-3</v>
      </c>
      <c r="AA310" s="33">
        <v>2.3999999999999998E-3</v>
      </c>
      <c r="AB310" s="25">
        <v>1020</v>
      </c>
      <c r="AC310" s="25">
        <v>644</v>
      </c>
      <c r="AD310" s="25">
        <v>213</v>
      </c>
      <c r="AE310" s="25">
        <v>3</v>
      </c>
      <c r="AF310" s="25">
        <v>112</v>
      </c>
      <c r="AG310" s="25">
        <v>9</v>
      </c>
      <c r="AH310" s="25">
        <v>39</v>
      </c>
      <c r="AI310" s="12">
        <v>2.3199999999999998</v>
      </c>
      <c r="AJ310" s="25">
        <v>33137</v>
      </c>
      <c r="AK310" s="25">
        <v>0</v>
      </c>
      <c r="AL310" s="31">
        <v>0</v>
      </c>
      <c r="AM310" s="4" t="s">
        <v>5549</v>
      </c>
      <c r="AN310" s="12" t="s">
        <v>5545</v>
      </c>
      <c r="AO310" s="12" t="s">
        <v>5545</v>
      </c>
      <c r="AP310" s="12" t="str">
        <f>"154553218343826"</f>
        <v>154553218343826</v>
      </c>
      <c r="AQ310" s="12" t="s">
        <v>4793</v>
      </c>
      <c r="AR310" s="12" t="s">
        <v>4815</v>
      </c>
      <c r="AS310" s="12"/>
      <c r="AT310" s="12"/>
      <c r="AU310" s="12" t="s">
        <v>324</v>
      </c>
      <c r="AV310" s="12"/>
      <c r="AW310" s="12"/>
      <c r="AX310" s="12">
        <v>0</v>
      </c>
      <c r="AY310" s="12">
        <v>2563</v>
      </c>
      <c r="AZ310" s="12">
        <v>0</v>
      </c>
      <c r="BA310" s="12" t="s">
        <v>5608</v>
      </c>
      <c r="BB310" s="12" t="s">
        <v>7289</v>
      </c>
      <c r="BC310" s="12" t="s">
        <v>7290</v>
      </c>
      <c r="BD310" s="12"/>
      <c r="BE310" s="12" t="s">
        <v>2291</v>
      </c>
      <c r="BF310" s="12"/>
      <c r="BG310" s="12"/>
      <c r="BH310" s="12"/>
      <c r="BI310" s="12" t="s">
        <v>4816</v>
      </c>
      <c r="BJ310" s="12"/>
      <c r="BK310" s="12"/>
      <c r="BL310" s="12" t="s">
        <v>2292</v>
      </c>
      <c r="BM310" s="12" t="s">
        <v>2292</v>
      </c>
      <c r="BN310" s="12" t="s">
        <v>2292</v>
      </c>
      <c r="BO310" s="12" t="s">
        <v>2292</v>
      </c>
      <c r="BP310" s="12"/>
      <c r="BQ310" s="12"/>
      <c r="BR310" s="12"/>
      <c r="BS310" s="12"/>
      <c r="BT310" s="12"/>
      <c r="BU310" s="12"/>
      <c r="BV310" s="12"/>
      <c r="BW310" s="12" t="s">
        <v>7291</v>
      </c>
      <c r="BX310" s="12"/>
      <c r="BY310" s="2" t="s">
        <v>313</v>
      </c>
      <c r="BZ310" s="13" t="s">
        <v>312</v>
      </c>
      <c r="CA310" s="13"/>
      <c r="CB310" s="13"/>
      <c r="CC310" s="13"/>
      <c r="CD310" s="13"/>
      <c r="CE310" s="13"/>
      <c r="CF310" s="13"/>
    </row>
    <row r="311" spans="1:84" ht="18.600000000000001" customHeight="1" x14ac:dyDescent="0.25">
      <c r="A311" s="60" t="s">
        <v>111</v>
      </c>
      <c r="B311" s="2" t="s">
        <v>315</v>
      </c>
      <c r="C311" s="3" t="s">
        <v>3020</v>
      </c>
      <c r="D311" s="12" t="s">
        <v>3809</v>
      </c>
      <c r="E311" s="12" t="s">
        <v>1240</v>
      </c>
      <c r="F311" s="12" t="s">
        <v>4383</v>
      </c>
      <c r="G311" s="25">
        <v>8248</v>
      </c>
      <c r="H311" s="25">
        <v>4579</v>
      </c>
      <c r="I311" s="25">
        <v>443</v>
      </c>
      <c r="J311" s="25">
        <v>2454</v>
      </c>
      <c r="K311" s="25">
        <v>32394</v>
      </c>
      <c r="L311" s="25">
        <v>66916</v>
      </c>
      <c r="M311" s="25">
        <v>99310</v>
      </c>
      <c r="N311" s="31">
        <v>0.33</v>
      </c>
      <c r="O311" s="25">
        <v>403</v>
      </c>
      <c r="P311" s="25">
        <v>1212</v>
      </c>
      <c r="Q311" s="25">
        <v>372</v>
      </c>
      <c r="R311" s="25">
        <v>102</v>
      </c>
      <c r="S311" s="25">
        <v>132</v>
      </c>
      <c r="T311" s="25">
        <v>81</v>
      </c>
      <c r="U311" s="61">
        <v>85</v>
      </c>
      <c r="V311" s="58">
        <v>3.5000000000000001E-3</v>
      </c>
      <c r="W311" s="33">
        <v>2.7000000000000001E-3</v>
      </c>
      <c r="X311" s="33">
        <v>1.2999999999999999E-3</v>
      </c>
      <c r="Y311" s="33">
        <v>1.1999999999999999E-3</v>
      </c>
      <c r="Z311" s="33">
        <v>8.6999999999999994E-3</v>
      </c>
      <c r="AA311" s="33">
        <v>1E-3</v>
      </c>
      <c r="AB311" s="25">
        <v>817</v>
      </c>
      <c r="AC311" s="25">
        <v>352</v>
      </c>
      <c r="AD311" s="25">
        <v>215</v>
      </c>
      <c r="AE311" s="25">
        <v>2</v>
      </c>
      <c r="AF311" s="25">
        <v>158</v>
      </c>
      <c r="AG311" s="25">
        <v>4</v>
      </c>
      <c r="AH311" s="25">
        <v>86</v>
      </c>
      <c r="AI311" s="12">
        <v>1.86</v>
      </c>
      <c r="AJ311" s="25">
        <v>3643</v>
      </c>
      <c r="AK311" s="25">
        <v>1278</v>
      </c>
      <c r="AL311" s="33">
        <v>0.54039999999999999</v>
      </c>
      <c r="AM311" s="3" t="s">
        <v>3020</v>
      </c>
      <c r="AN311" s="12" t="s">
        <v>1240</v>
      </c>
      <c r="AO311" s="12" t="s">
        <v>1240</v>
      </c>
      <c r="AP311" s="12" t="str">
        <f>"180940151929407"</f>
        <v>180940151929407</v>
      </c>
      <c r="AQ311" s="12" t="s">
        <v>3809</v>
      </c>
      <c r="AR311" s="12" t="s">
        <v>1241</v>
      </c>
      <c r="AS311" s="12" t="s">
        <v>1242</v>
      </c>
      <c r="AT311" s="12"/>
      <c r="AU311" s="12" t="s">
        <v>5257</v>
      </c>
      <c r="AV311" s="12" t="s">
        <v>5810</v>
      </c>
      <c r="AW311" s="12" t="s">
        <v>3021</v>
      </c>
      <c r="AX311" s="12">
        <v>82</v>
      </c>
      <c r="AY311" s="12">
        <v>113</v>
      </c>
      <c r="AZ311" s="12">
        <v>82</v>
      </c>
      <c r="BA311" s="12" t="s">
        <v>1243</v>
      </c>
      <c r="BB311" s="12" t="s">
        <v>7292</v>
      </c>
      <c r="BC311" s="12" t="s">
        <v>7293</v>
      </c>
      <c r="BD311" s="12"/>
      <c r="BE311" s="12" t="s">
        <v>2291</v>
      </c>
      <c r="BF311" s="12"/>
      <c r="BG311" s="12"/>
      <c r="BH311" s="12"/>
      <c r="BI311" s="12" t="s">
        <v>3022</v>
      </c>
      <c r="BJ311" s="12" t="s">
        <v>3023</v>
      </c>
      <c r="BK311" s="12" t="s">
        <v>6584</v>
      </c>
      <c r="BL311" s="12" t="s">
        <v>2292</v>
      </c>
      <c r="BM311" s="12" t="s">
        <v>2292</v>
      </c>
      <c r="BN311" s="12" t="s">
        <v>2292</v>
      </c>
      <c r="BO311" s="12" t="s">
        <v>2292</v>
      </c>
      <c r="BP311" s="12" t="s">
        <v>1244</v>
      </c>
      <c r="BQ311" s="12"/>
      <c r="BR311" s="12"/>
      <c r="BS311" s="12"/>
      <c r="BT311" s="12" t="s">
        <v>4965</v>
      </c>
      <c r="BU311" s="12" t="s">
        <v>326</v>
      </c>
      <c r="BV311" s="12" t="s">
        <v>1244</v>
      </c>
      <c r="BW311" s="12" t="s">
        <v>1245</v>
      </c>
      <c r="BX311" s="12"/>
      <c r="BY311" s="13" t="s">
        <v>313</v>
      </c>
      <c r="BZ311" s="13" t="s">
        <v>6172</v>
      </c>
      <c r="CA311" s="13" t="s">
        <v>6170</v>
      </c>
      <c r="CB311" s="13" t="s">
        <v>6197</v>
      </c>
      <c r="CC311" s="13"/>
      <c r="CD311" s="13" t="s">
        <v>6198</v>
      </c>
      <c r="CE311" s="13"/>
      <c r="CF311" s="13"/>
    </row>
    <row r="312" spans="1:84" ht="18.600000000000001" customHeight="1" x14ac:dyDescent="0.25">
      <c r="A312" s="60" t="s">
        <v>111</v>
      </c>
      <c r="B312" s="2" t="s">
        <v>335</v>
      </c>
      <c r="C312" s="3" t="s">
        <v>3024</v>
      </c>
      <c r="D312" s="12" t="s">
        <v>1246</v>
      </c>
      <c r="E312" s="12" t="s">
        <v>1247</v>
      </c>
      <c r="F312" s="12" t="s">
        <v>4384</v>
      </c>
      <c r="G312" s="25">
        <v>155174</v>
      </c>
      <c r="H312" s="25">
        <v>124854</v>
      </c>
      <c r="I312" s="25">
        <v>3250</v>
      </c>
      <c r="J312" s="25">
        <v>22914</v>
      </c>
      <c r="K312" s="25">
        <v>122637</v>
      </c>
      <c r="L312" s="25">
        <v>261093</v>
      </c>
      <c r="M312" s="25">
        <v>383730</v>
      </c>
      <c r="N312" s="31">
        <v>0.32</v>
      </c>
      <c r="O312" s="25">
        <v>137536</v>
      </c>
      <c r="P312" s="25">
        <v>1263</v>
      </c>
      <c r="Q312" s="25">
        <v>2707</v>
      </c>
      <c r="R312" s="25">
        <v>693</v>
      </c>
      <c r="S312" s="25">
        <v>67</v>
      </c>
      <c r="T312" s="25">
        <v>669</v>
      </c>
      <c r="U312" s="61">
        <v>13</v>
      </c>
      <c r="V312" s="58">
        <v>4.0000000000000002E-4</v>
      </c>
      <c r="W312" s="33">
        <v>4.0000000000000002E-4</v>
      </c>
      <c r="X312" s="33">
        <v>5.0000000000000001E-4</v>
      </c>
      <c r="Y312" s="33">
        <v>5.0000000000000001E-4</v>
      </c>
      <c r="Z312" s="33">
        <v>1.1999999999999999E-3</v>
      </c>
      <c r="AA312" s="33">
        <v>2.9999999999999997E-4</v>
      </c>
      <c r="AB312" s="25">
        <v>2392</v>
      </c>
      <c r="AC312" s="25">
        <v>1823</v>
      </c>
      <c r="AD312" s="25">
        <v>267</v>
      </c>
      <c r="AE312" s="25">
        <v>18</v>
      </c>
      <c r="AF312" s="25">
        <v>92</v>
      </c>
      <c r="AG312" s="25">
        <v>172</v>
      </c>
      <c r="AH312" s="25">
        <v>20</v>
      </c>
      <c r="AI312" s="12">
        <v>5.45</v>
      </c>
      <c r="AJ312" s="25">
        <v>155838</v>
      </c>
      <c r="AK312" s="25">
        <v>19611</v>
      </c>
      <c r="AL312" s="33">
        <v>0.14399999999999999</v>
      </c>
      <c r="AM312" s="3" t="s">
        <v>3024</v>
      </c>
      <c r="AN312" s="12" t="s">
        <v>1247</v>
      </c>
      <c r="AO312" s="12" t="s">
        <v>1247</v>
      </c>
      <c r="AP312" s="12" t="str">
        <f>"153641954675821"</f>
        <v>153641954675821</v>
      </c>
      <c r="AQ312" s="12" t="s">
        <v>1246</v>
      </c>
      <c r="AR312" s="12" t="s">
        <v>4961</v>
      </c>
      <c r="AS312" s="12" t="s">
        <v>3025</v>
      </c>
      <c r="AT312" s="12"/>
      <c r="AU312" s="12" t="s">
        <v>324</v>
      </c>
      <c r="AV312" s="12" t="s">
        <v>5769</v>
      </c>
      <c r="AW312" s="12"/>
      <c r="AX312" s="12">
        <v>47863</v>
      </c>
      <c r="AY312" s="12">
        <v>2715</v>
      </c>
      <c r="AZ312" s="12">
        <v>47863</v>
      </c>
      <c r="BA312" s="12" t="s">
        <v>1248</v>
      </c>
      <c r="BB312" s="12" t="s">
        <v>7294</v>
      </c>
      <c r="BC312" s="12" t="s">
        <v>7295</v>
      </c>
      <c r="BD312" s="12"/>
      <c r="BE312" s="12" t="s">
        <v>2291</v>
      </c>
      <c r="BF312" s="12"/>
      <c r="BG312" s="12"/>
      <c r="BH312" s="12"/>
      <c r="BI312" s="12" t="s">
        <v>3026</v>
      </c>
      <c r="BJ312" s="12"/>
      <c r="BK312" s="12" t="s">
        <v>6584</v>
      </c>
      <c r="BL312" s="12" t="s">
        <v>2292</v>
      </c>
      <c r="BM312" s="12" t="s">
        <v>2292</v>
      </c>
      <c r="BN312" s="12" t="s">
        <v>2292</v>
      </c>
      <c r="BO312" s="12" t="s">
        <v>2292</v>
      </c>
      <c r="BP312" s="12" t="s">
        <v>3027</v>
      </c>
      <c r="BQ312" s="12"/>
      <c r="BR312" s="12"/>
      <c r="BS312" s="12"/>
      <c r="BT312" s="12" t="s">
        <v>4962</v>
      </c>
      <c r="BU312" s="12" t="s">
        <v>326</v>
      </c>
      <c r="BV312" s="12"/>
      <c r="BW312" s="12" t="s">
        <v>4963</v>
      </c>
      <c r="BX312" s="12"/>
      <c r="BY312" s="13" t="s">
        <v>313</v>
      </c>
      <c r="BZ312" s="13" t="s">
        <v>6170</v>
      </c>
      <c r="CA312" s="13" t="s">
        <v>6170</v>
      </c>
      <c r="CB312" s="13" t="s">
        <v>6197</v>
      </c>
      <c r="CC312" s="13"/>
      <c r="CD312" s="13" t="s">
        <v>6198</v>
      </c>
      <c r="CE312" s="13"/>
      <c r="CF312" s="13"/>
    </row>
    <row r="313" spans="1:84" ht="18.600000000000001" customHeight="1" x14ac:dyDescent="0.25">
      <c r="A313" s="60" t="s">
        <v>112</v>
      </c>
      <c r="B313" s="2" t="s">
        <v>1258</v>
      </c>
      <c r="C313" s="20" t="s">
        <v>3868</v>
      </c>
      <c r="D313" s="12" t="s">
        <v>4451</v>
      </c>
      <c r="E313" s="12"/>
      <c r="F313" s="12" t="s">
        <v>4452</v>
      </c>
      <c r="G313" s="25">
        <v>0</v>
      </c>
      <c r="H313" s="25">
        <v>0</v>
      </c>
      <c r="I313" s="25">
        <v>0</v>
      </c>
      <c r="J313" s="25">
        <v>0</v>
      </c>
      <c r="K313" s="25">
        <v>0</v>
      </c>
      <c r="L313" s="25">
        <v>0</v>
      </c>
      <c r="M313" s="25">
        <v>0</v>
      </c>
      <c r="N313" s="31">
        <v>0</v>
      </c>
      <c r="O313" s="25">
        <v>0</v>
      </c>
      <c r="P313" s="25">
        <v>0</v>
      </c>
      <c r="Q313" s="25">
        <v>0</v>
      </c>
      <c r="R313" s="25">
        <v>0</v>
      </c>
      <c r="S313" s="25">
        <v>0</v>
      </c>
      <c r="T313" s="25">
        <v>0</v>
      </c>
      <c r="U313" s="61">
        <v>0</v>
      </c>
      <c r="V313" s="59"/>
      <c r="W313" s="12" t="s">
        <v>3926</v>
      </c>
      <c r="X313" s="12" t="s">
        <v>3926</v>
      </c>
      <c r="Y313" s="12" t="s">
        <v>3926</v>
      </c>
      <c r="Z313" s="12" t="s">
        <v>3926</v>
      </c>
      <c r="AA313" s="12" t="s">
        <v>3926</v>
      </c>
      <c r="AB313" s="25" t="s">
        <v>3927</v>
      </c>
      <c r="AC313" s="25">
        <v>0</v>
      </c>
      <c r="AD313" s="25">
        <v>0</v>
      </c>
      <c r="AE313" s="25">
        <v>0</v>
      </c>
      <c r="AF313" s="25">
        <v>0</v>
      </c>
      <c r="AG313" s="25">
        <v>0</v>
      </c>
      <c r="AH313" s="25">
        <v>0</v>
      </c>
      <c r="AI313" s="12">
        <v>0</v>
      </c>
      <c r="AJ313" s="25">
        <v>3153</v>
      </c>
      <c r="AK313" s="25">
        <v>2600</v>
      </c>
      <c r="AL313" s="33">
        <v>4.7016</v>
      </c>
      <c r="AM313" s="20" t="s">
        <v>3868</v>
      </c>
      <c r="AN313" s="12" t="s">
        <v>5461</v>
      </c>
      <c r="AO313" s="12"/>
      <c r="AP313" s="12" t="str">
        <f>"1631139903865661"</f>
        <v>1631139903865661</v>
      </c>
      <c r="AQ313" s="12" t="s">
        <v>4451</v>
      </c>
      <c r="AR313" s="12" t="s">
        <v>4632</v>
      </c>
      <c r="AS313" s="12"/>
      <c r="AT313" s="12" t="s">
        <v>4633</v>
      </c>
      <c r="AU313" s="12" t="s">
        <v>424</v>
      </c>
      <c r="AV313" s="12"/>
      <c r="AW313" s="12"/>
      <c r="AX313" s="12">
        <v>0</v>
      </c>
      <c r="AY313" s="12">
        <v>65</v>
      </c>
      <c r="AZ313" s="12">
        <v>0</v>
      </c>
      <c r="BA313" s="12" t="s">
        <v>4634</v>
      </c>
      <c r="BB313" s="12"/>
      <c r="BC313" s="12" t="s">
        <v>7231</v>
      </c>
      <c r="BD313" s="12"/>
      <c r="BE313" s="12" t="s">
        <v>2291</v>
      </c>
      <c r="BF313" s="12"/>
      <c r="BG313" s="12"/>
      <c r="BH313" s="12"/>
      <c r="BI313" s="12"/>
      <c r="BJ313" s="12"/>
      <c r="BK313" s="12"/>
      <c r="BL313" s="12" t="s">
        <v>2292</v>
      </c>
      <c r="BM313" s="12" t="s">
        <v>2292</v>
      </c>
      <c r="BN313" s="12" t="s">
        <v>2292</v>
      </c>
      <c r="BO313" s="12" t="s">
        <v>2291</v>
      </c>
      <c r="BP313" s="12"/>
      <c r="BQ313" s="12"/>
      <c r="BR313" s="12"/>
      <c r="BS313" s="12"/>
      <c r="BT313" s="12"/>
      <c r="BU313" s="12"/>
      <c r="BV313" s="12"/>
      <c r="BW313" s="12"/>
      <c r="BX313" s="12"/>
      <c r="BY313" s="2" t="s">
        <v>344</v>
      </c>
      <c r="BZ313" s="13" t="s">
        <v>6170</v>
      </c>
      <c r="CA313" s="13" t="s">
        <v>6170</v>
      </c>
      <c r="CB313" s="13" t="s">
        <v>312</v>
      </c>
      <c r="CC313" s="13"/>
      <c r="CD313" s="13" t="s">
        <v>6198</v>
      </c>
      <c r="CE313" s="13"/>
      <c r="CF313" s="13"/>
    </row>
    <row r="314" spans="1:84" ht="18.600000000000001" customHeight="1" x14ac:dyDescent="0.25">
      <c r="A314" s="60" t="s">
        <v>112</v>
      </c>
      <c r="B314" s="2" t="s">
        <v>1253</v>
      </c>
      <c r="C314" s="3" t="s">
        <v>2578</v>
      </c>
      <c r="D314" s="12" t="s">
        <v>1250</v>
      </c>
      <c r="E314" s="12" t="s">
        <v>1249</v>
      </c>
      <c r="F314" s="12" t="s">
        <v>4103</v>
      </c>
      <c r="G314" s="25">
        <v>1341811</v>
      </c>
      <c r="H314" s="25">
        <v>1039969</v>
      </c>
      <c r="I314" s="25">
        <v>91395</v>
      </c>
      <c r="J314" s="25">
        <v>115984</v>
      </c>
      <c r="K314" s="25">
        <v>2077714</v>
      </c>
      <c r="L314" s="25">
        <v>653999</v>
      </c>
      <c r="M314" s="25">
        <v>2731713</v>
      </c>
      <c r="N314" s="31">
        <v>0.76</v>
      </c>
      <c r="O314" s="25">
        <v>0</v>
      </c>
      <c r="P314" s="25">
        <v>0</v>
      </c>
      <c r="Q314" s="25">
        <v>80041</v>
      </c>
      <c r="R314" s="25">
        <v>7244</v>
      </c>
      <c r="S314" s="25">
        <v>1201</v>
      </c>
      <c r="T314" s="25">
        <v>5712</v>
      </c>
      <c r="U314" s="61">
        <v>264</v>
      </c>
      <c r="V314" s="58">
        <v>3.0999999999999999E-3</v>
      </c>
      <c r="W314" s="33">
        <v>3.5000000000000001E-3</v>
      </c>
      <c r="X314" s="33">
        <v>6.9999999999999999E-4</v>
      </c>
      <c r="Y314" s="33">
        <v>2.8999999999999998E-3</v>
      </c>
      <c r="Z314" s="33">
        <v>2.3999999999999998E-3</v>
      </c>
      <c r="AA314" s="33">
        <v>8.0000000000000004E-4</v>
      </c>
      <c r="AB314" s="25">
        <v>116</v>
      </c>
      <c r="AC314" s="25">
        <v>81</v>
      </c>
      <c r="AD314" s="25">
        <v>3</v>
      </c>
      <c r="AE314" s="25">
        <v>8</v>
      </c>
      <c r="AF314" s="25">
        <v>23</v>
      </c>
      <c r="AG314" s="25">
        <v>0</v>
      </c>
      <c r="AH314" s="25">
        <v>1</v>
      </c>
      <c r="AI314" s="12">
        <v>0.26</v>
      </c>
      <c r="AJ314" s="25">
        <v>3775329</v>
      </c>
      <c r="AK314" s="25">
        <v>200875</v>
      </c>
      <c r="AL314" s="33">
        <v>5.62E-2</v>
      </c>
      <c r="AM314" s="3" t="s">
        <v>2578</v>
      </c>
      <c r="AN314" s="12" t="s">
        <v>1249</v>
      </c>
      <c r="AO314" s="12" t="s">
        <v>1249</v>
      </c>
      <c r="AP314" s="12" t="str">
        <f>"84820452907"</f>
        <v>84820452907</v>
      </c>
      <c r="AQ314" s="12" t="s">
        <v>1250</v>
      </c>
      <c r="AR314" s="12" t="s">
        <v>5578</v>
      </c>
      <c r="AS314" s="12" t="s">
        <v>1251</v>
      </c>
      <c r="AT314" s="12"/>
      <c r="AU314" s="12" t="s">
        <v>309</v>
      </c>
      <c r="AV314" s="12"/>
      <c r="AW314" s="12"/>
      <c r="AX314" s="12">
        <v>0</v>
      </c>
      <c r="AY314" s="12">
        <v>3708</v>
      </c>
      <c r="AZ314" s="12">
        <v>0</v>
      </c>
      <c r="BA314" s="12" t="s">
        <v>1252</v>
      </c>
      <c r="BB314" s="12"/>
      <c r="BC314" s="12"/>
      <c r="BD314" s="12"/>
      <c r="BE314" s="12" t="s">
        <v>2291</v>
      </c>
      <c r="BF314" s="12"/>
      <c r="BG314" s="12"/>
      <c r="BH314" s="12"/>
      <c r="BI314" s="12"/>
      <c r="BJ314" s="12"/>
      <c r="BK314" s="12"/>
      <c r="BL314" s="12" t="s">
        <v>2292</v>
      </c>
      <c r="BM314" s="12" t="s">
        <v>2292</v>
      </c>
      <c r="BN314" s="12" t="s">
        <v>2292</v>
      </c>
      <c r="BO314" s="12" t="s">
        <v>2291</v>
      </c>
      <c r="BP314" s="12"/>
      <c r="BQ314" s="12"/>
      <c r="BR314" s="12"/>
      <c r="BS314" s="12"/>
      <c r="BT314" s="12"/>
      <c r="BU314" s="12"/>
      <c r="BV314" s="12"/>
      <c r="BW314" s="12"/>
      <c r="BX314" s="12"/>
      <c r="BY314" s="13" t="s">
        <v>313</v>
      </c>
      <c r="BZ314" s="13" t="s">
        <v>312</v>
      </c>
      <c r="CA314" s="13"/>
      <c r="CB314" s="13"/>
      <c r="CC314" s="13"/>
      <c r="CD314" s="13"/>
      <c r="CE314" s="13" t="s">
        <v>6184</v>
      </c>
      <c r="CF314" s="13"/>
    </row>
    <row r="315" spans="1:84" ht="18.600000000000001" customHeight="1" x14ac:dyDescent="0.25">
      <c r="A315" s="60" t="s">
        <v>112</v>
      </c>
      <c r="B315" s="2" t="s">
        <v>315</v>
      </c>
      <c r="C315" s="3" t="s">
        <v>3042</v>
      </c>
      <c r="D315" s="12" t="s">
        <v>1259</v>
      </c>
      <c r="E315" s="12" t="s">
        <v>1259</v>
      </c>
      <c r="F315" s="12" t="s">
        <v>4394</v>
      </c>
      <c r="G315" s="25">
        <v>58067</v>
      </c>
      <c r="H315" s="25">
        <v>48188</v>
      </c>
      <c r="I315" s="25">
        <v>3058</v>
      </c>
      <c r="J315" s="25">
        <v>3657</v>
      </c>
      <c r="K315" s="25">
        <v>78911</v>
      </c>
      <c r="L315" s="25">
        <v>13324</v>
      </c>
      <c r="M315" s="25">
        <v>92235</v>
      </c>
      <c r="N315" s="31">
        <v>0.86</v>
      </c>
      <c r="O315" s="25">
        <v>3233</v>
      </c>
      <c r="P315" s="25">
        <v>0</v>
      </c>
      <c r="Q315" s="25">
        <v>2949</v>
      </c>
      <c r="R315" s="25">
        <v>125</v>
      </c>
      <c r="S315" s="25">
        <v>35</v>
      </c>
      <c r="T315" s="25">
        <v>46</v>
      </c>
      <c r="U315" s="61">
        <v>7</v>
      </c>
      <c r="V315" s="58">
        <v>2.0000000000000001E-4</v>
      </c>
      <c r="W315" s="33">
        <v>2.9999999999999997E-4</v>
      </c>
      <c r="X315" s="33">
        <v>2.0000000000000001E-4</v>
      </c>
      <c r="Y315" s="33">
        <v>1E-4</v>
      </c>
      <c r="Z315" s="33">
        <v>6.9999999999999999E-4</v>
      </c>
      <c r="AA315" s="33">
        <v>0</v>
      </c>
      <c r="AB315" s="25">
        <v>1962</v>
      </c>
      <c r="AC315" s="25">
        <v>476</v>
      </c>
      <c r="AD315" s="25">
        <v>966</v>
      </c>
      <c r="AE315" s="25">
        <v>397</v>
      </c>
      <c r="AF315" s="25">
        <v>98</v>
      </c>
      <c r="AG315" s="25">
        <v>16</v>
      </c>
      <c r="AH315" s="25">
        <v>9</v>
      </c>
      <c r="AI315" s="12">
        <v>4.47</v>
      </c>
      <c r="AJ315" s="25">
        <v>144590</v>
      </c>
      <c r="AK315" s="25">
        <v>6379</v>
      </c>
      <c r="AL315" s="33">
        <v>4.6199999999999998E-2</v>
      </c>
      <c r="AM315" s="3" t="s">
        <v>3042</v>
      </c>
      <c r="AN315" s="12" t="s">
        <v>1259</v>
      </c>
      <c r="AO315" s="12" t="s">
        <v>1259</v>
      </c>
      <c r="AP315" s="12" t="str">
        <f>"108669062546478"</f>
        <v>108669062546478</v>
      </c>
      <c r="AQ315" s="12" t="s">
        <v>1259</v>
      </c>
      <c r="AR315" s="12" t="s">
        <v>1260</v>
      </c>
      <c r="AS315" s="12" t="s">
        <v>6048</v>
      </c>
      <c r="AT315" s="12"/>
      <c r="AU315" s="12" t="s">
        <v>324</v>
      </c>
      <c r="AV315" s="12"/>
      <c r="AW315" s="12">
        <v>2001</v>
      </c>
      <c r="AX315" s="12">
        <v>0</v>
      </c>
      <c r="AY315" s="12">
        <v>340</v>
      </c>
      <c r="AZ315" s="12">
        <v>0</v>
      </c>
      <c r="BA315" s="12" t="s">
        <v>1261</v>
      </c>
      <c r="BB315" s="12"/>
      <c r="BC315" s="12" t="s">
        <v>7318</v>
      </c>
      <c r="BD315" s="12"/>
      <c r="BE315" s="12" t="s">
        <v>2291</v>
      </c>
      <c r="BF315" s="12"/>
      <c r="BG315" s="12"/>
      <c r="BH315" s="12"/>
      <c r="BI315" s="12" t="s">
        <v>3043</v>
      </c>
      <c r="BJ315" s="12"/>
      <c r="BK315" s="12" t="s">
        <v>7319</v>
      </c>
      <c r="BL315" s="12" t="s">
        <v>2292</v>
      </c>
      <c r="BM315" s="12" t="s">
        <v>2292</v>
      </c>
      <c r="BN315" s="12" t="s">
        <v>2292</v>
      </c>
      <c r="BO315" s="12" t="s">
        <v>2291</v>
      </c>
      <c r="BP315" s="12"/>
      <c r="BQ315" s="12"/>
      <c r="BR315" s="12"/>
      <c r="BS315" s="12"/>
      <c r="BT315" s="12">
        <v>9.7126269999971429E+21</v>
      </c>
      <c r="BU315" s="12"/>
      <c r="BV315" s="12"/>
      <c r="BW315" s="12"/>
      <c r="BX315" s="12"/>
      <c r="BY315" s="13" t="s">
        <v>313</v>
      </c>
      <c r="BZ315" s="13" t="s">
        <v>6170</v>
      </c>
      <c r="CA315" s="13" t="s">
        <v>6170</v>
      </c>
      <c r="CB315" s="13" t="s">
        <v>6202</v>
      </c>
      <c r="CC315" s="13"/>
      <c r="CD315" s="13" t="s">
        <v>6195</v>
      </c>
      <c r="CE315" s="13"/>
      <c r="CF315" s="13"/>
    </row>
    <row r="316" spans="1:84" ht="18.600000000000001" customHeight="1" x14ac:dyDescent="0.25">
      <c r="A316" s="60" t="s">
        <v>112</v>
      </c>
      <c r="B316" s="2" t="s">
        <v>335</v>
      </c>
      <c r="C316" s="3" t="s">
        <v>2796</v>
      </c>
      <c r="D316" s="12" t="s">
        <v>1255</v>
      </c>
      <c r="E316" s="12" t="s">
        <v>1254</v>
      </c>
      <c r="F316" s="12" t="s">
        <v>4225</v>
      </c>
      <c r="G316" s="25">
        <v>204</v>
      </c>
      <c r="H316" s="25">
        <v>92</v>
      </c>
      <c r="I316" s="25">
        <v>102</v>
      </c>
      <c r="J316" s="25">
        <v>6</v>
      </c>
      <c r="K316" s="25">
        <v>0</v>
      </c>
      <c r="L316" s="25">
        <v>0</v>
      </c>
      <c r="M316" s="25">
        <v>0</v>
      </c>
      <c r="N316" s="31">
        <v>0</v>
      </c>
      <c r="O316" s="25">
        <v>0</v>
      </c>
      <c r="P316" s="25">
        <v>0</v>
      </c>
      <c r="Q316" s="25">
        <v>4</v>
      </c>
      <c r="R316" s="25">
        <v>0</v>
      </c>
      <c r="S316" s="25">
        <v>0</v>
      </c>
      <c r="T316" s="25">
        <v>0</v>
      </c>
      <c r="U316" s="61">
        <v>0</v>
      </c>
      <c r="V316" s="58">
        <v>4.4000000000000003E-3</v>
      </c>
      <c r="W316" s="33">
        <v>4.1000000000000003E-3</v>
      </c>
      <c r="X316" s="33">
        <v>2.7000000000000001E-3</v>
      </c>
      <c r="Y316" s="12" t="s">
        <v>3926</v>
      </c>
      <c r="Z316" s="12" t="s">
        <v>3926</v>
      </c>
      <c r="AA316" s="33">
        <v>6.8999999999999999E-3</v>
      </c>
      <c r="AB316" s="25">
        <v>10</v>
      </c>
      <c r="AC316" s="25">
        <v>3</v>
      </c>
      <c r="AD316" s="25">
        <v>4</v>
      </c>
      <c r="AE316" s="25">
        <v>0</v>
      </c>
      <c r="AF316" s="25">
        <v>0</v>
      </c>
      <c r="AG316" s="25">
        <v>0</v>
      </c>
      <c r="AH316" s="25">
        <v>3</v>
      </c>
      <c r="AI316" s="12">
        <v>0.02</v>
      </c>
      <c r="AJ316" s="25">
        <v>5565</v>
      </c>
      <c r="AK316" s="25">
        <v>1665</v>
      </c>
      <c r="AL316" s="33">
        <v>0.4269</v>
      </c>
      <c r="AM316" s="3" t="s">
        <v>2796</v>
      </c>
      <c r="AN316" s="12" t="s">
        <v>1254</v>
      </c>
      <c r="AO316" s="12" t="s">
        <v>1254</v>
      </c>
      <c r="AP316" s="12" t="str">
        <f>"400706816697605"</f>
        <v>400706816697605</v>
      </c>
      <c r="AQ316" s="12" t="s">
        <v>1255</v>
      </c>
      <c r="AR316" s="12" t="s">
        <v>3640</v>
      </c>
      <c r="AS316" s="12" t="s">
        <v>1256</v>
      </c>
      <c r="AT316" s="12"/>
      <c r="AU316" s="12" t="s">
        <v>324</v>
      </c>
      <c r="AV316" s="12"/>
      <c r="AW316" s="12"/>
      <c r="AX316" s="12">
        <v>0</v>
      </c>
      <c r="AY316" s="12">
        <v>54</v>
      </c>
      <c r="AZ316" s="12">
        <v>0</v>
      </c>
      <c r="BA316" s="12" t="s">
        <v>1257</v>
      </c>
      <c r="BB316" s="12" t="s">
        <v>5930</v>
      </c>
      <c r="BC316" s="12" t="s">
        <v>6956</v>
      </c>
      <c r="BD316" s="12"/>
      <c r="BE316" s="12" t="s">
        <v>2291</v>
      </c>
      <c r="BF316" s="12"/>
      <c r="BG316" s="12"/>
      <c r="BH316" s="12"/>
      <c r="BI316" s="12"/>
      <c r="BJ316" s="12"/>
      <c r="BK316" s="12"/>
      <c r="BL316" s="12" t="s">
        <v>2292</v>
      </c>
      <c r="BM316" s="12" t="s">
        <v>2292</v>
      </c>
      <c r="BN316" s="12" t="s">
        <v>2292</v>
      </c>
      <c r="BO316" s="12" t="s">
        <v>2292</v>
      </c>
      <c r="BP316" s="12"/>
      <c r="BQ316" s="12"/>
      <c r="BR316" s="12"/>
      <c r="BS316" s="12"/>
      <c r="BT316" s="12"/>
      <c r="BU316" s="12"/>
      <c r="BV316" s="12"/>
      <c r="BW316" s="12" t="s">
        <v>374</v>
      </c>
      <c r="BX316" s="12"/>
      <c r="BY316" s="13" t="s">
        <v>313</v>
      </c>
      <c r="BZ316" s="13" t="s">
        <v>6170</v>
      </c>
      <c r="CA316" s="13" t="s">
        <v>6170</v>
      </c>
      <c r="CB316" s="13" t="s">
        <v>312</v>
      </c>
      <c r="CC316" s="13"/>
      <c r="CD316" s="13" t="s">
        <v>6198</v>
      </c>
      <c r="CE316" s="13"/>
      <c r="CF316" s="13"/>
    </row>
    <row r="317" spans="1:84" ht="18.600000000000001" customHeight="1" x14ac:dyDescent="0.25">
      <c r="A317" s="60" t="s">
        <v>113</v>
      </c>
      <c r="B317" s="2" t="s">
        <v>5072</v>
      </c>
      <c r="C317" s="20" t="s">
        <v>5073</v>
      </c>
      <c r="D317" s="12" t="s">
        <v>5133</v>
      </c>
      <c r="E317" s="12" t="s">
        <v>5134</v>
      </c>
      <c r="F317" s="12" t="s">
        <v>5135</v>
      </c>
      <c r="G317" s="25">
        <v>833944</v>
      </c>
      <c r="H317" s="25">
        <v>674058</v>
      </c>
      <c r="I317" s="25">
        <v>44527</v>
      </c>
      <c r="J317" s="25">
        <v>69514</v>
      </c>
      <c r="K317" s="25">
        <v>1791915</v>
      </c>
      <c r="L317" s="25">
        <v>836262</v>
      </c>
      <c r="M317" s="25">
        <v>2628177</v>
      </c>
      <c r="N317" s="31">
        <v>0.68</v>
      </c>
      <c r="O317" s="25">
        <v>0</v>
      </c>
      <c r="P317" s="25">
        <v>247843</v>
      </c>
      <c r="Q317" s="25">
        <v>41576</v>
      </c>
      <c r="R317" s="25">
        <v>1371</v>
      </c>
      <c r="S317" s="25">
        <v>523</v>
      </c>
      <c r="T317" s="25">
        <v>2118</v>
      </c>
      <c r="U317" s="61">
        <v>244</v>
      </c>
      <c r="V317" s="58">
        <v>4.7999999999999996E-3</v>
      </c>
      <c r="W317" s="33">
        <v>6.3E-3</v>
      </c>
      <c r="X317" s="33">
        <v>1.5E-3</v>
      </c>
      <c r="Y317" s="33">
        <v>2.7000000000000001E-3</v>
      </c>
      <c r="Z317" s="33">
        <v>2.24E-2</v>
      </c>
      <c r="AA317" s="33">
        <v>2.3999999999999998E-3</v>
      </c>
      <c r="AB317" s="25">
        <v>1343</v>
      </c>
      <c r="AC317" s="25">
        <v>546</v>
      </c>
      <c r="AD317" s="25">
        <v>591</v>
      </c>
      <c r="AE317" s="25">
        <v>118</v>
      </c>
      <c r="AF317" s="25">
        <v>75</v>
      </c>
      <c r="AG317" s="25">
        <v>0</v>
      </c>
      <c r="AH317" s="25">
        <v>13</v>
      </c>
      <c r="AI317" s="12">
        <v>3.06</v>
      </c>
      <c r="AJ317" s="25">
        <v>158394</v>
      </c>
      <c r="AK317" s="25">
        <v>0</v>
      </c>
      <c r="AL317" s="31">
        <v>0</v>
      </c>
      <c r="AM317" s="20" t="s">
        <v>5073</v>
      </c>
      <c r="AN317" s="12" t="s">
        <v>5134</v>
      </c>
      <c r="AO317" s="12" t="s">
        <v>5134</v>
      </c>
      <c r="AP317" s="12" t="str">
        <f>"676751812488943"</f>
        <v>676751812488943</v>
      </c>
      <c r="AQ317" s="12" t="s">
        <v>5133</v>
      </c>
      <c r="AR317" s="12" t="s">
        <v>5383</v>
      </c>
      <c r="AS317" s="12" t="s">
        <v>5918</v>
      </c>
      <c r="AT317" s="12" t="s">
        <v>5384</v>
      </c>
      <c r="AU317" s="12" t="s">
        <v>309</v>
      </c>
      <c r="AV317" s="12" t="s">
        <v>5802</v>
      </c>
      <c r="AW317" s="12"/>
      <c r="AX317" s="12">
        <v>386</v>
      </c>
      <c r="AY317" s="12">
        <v>30139</v>
      </c>
      <c r="AZ317" s="12">
        <v>0</v>
      </c>
      <c r="BA317" s="12" t="s">
        <v>5385</v>
      </c>
      <c r="BB317" s="12" t="s">
        <v>6919</v>
      </c>
      <c r="BC317" s="12" t="s">
        <v>6920</v>
      </c>
      <c r="BD317" s="12"/>
      <c r="BE317" s="12" t="s">
        <v>2291</v>
      </c>
      <c r="BF317" s="12"/>
      <c r="BG317" s="12"/>
      <c r="BH317" s="12"/>
      <c r="BI317" s="12" t="s">
        <v>5919</v>
      </c>
      <c r="BJ317" s="12"/>
      <c r="BK317" s="12"/>
      <c r="BL317" s="12" t="s">
        <v>2292</v>
      </c>
      <c r="BM317" s="12" t="s">
        <v>2292</v>
      </c>
      <c r="BN317" s="12" t="s">
        <v>2292</v>
      </c>
      <c r="BO317" s="12" t="s">
        <v>2291</v>
      </c>
      <c r="BP317" s="12"/>
      <c r="BQ317" s="12"/>
      <c r="BR317" s="12"/>
      <c r="BS317" s="12"/>
      <c r="BT317" s="12">
        <v>998712100000</v>
      </c>
      <c r="BU317" s="12" t="s">
        <v>326</v>
      </c>
      <c r="BV317" s="12"/>
      <c r="BW317" s="12"/>
      <c r="BX317" s="12"/>
      <c r="BY317" s="13" t="s">
        <v>313</v>
      </c>
      <c r="BZ317" s="13" t="s">
        <v>6172</v>
      </c>
      <c r="CA317" s="13"/>
      <c r="CB317" s="13"/>
      <c r="CC317" s="13"/>
      <c r="CD317" s="13"/>
      <c r="CE317" s="13"/>
      <c r="CF317" s="13" t="s">
        <v>6178</v>
      </c>
    </row>
    <row r="318" spans="1:84" ht="18.600000000000001" customHeight="1" x14ac:dyDescent="0.25">
      <c r="A318" s="60" t="s">
        <v>113</v>
      </c>
      <c r="B318" s="2" t="s">
        <v>315</v>
      </c>
      <c r="C318" s="3" t="s">
        <v>2556</v>
      </c>
      <c r="D318" s="12" t="s">
        <v>1263</v>
      </c>
      <c r="E318" s="12" t="s">
        <v>1262</v>
      </c>
      <c r="F318" s="12" t="s">
        <v>4092</v>
      </c>
      <c r="G318" s="25">
        <v>22570</v>
      </c>
      <c r="H318" s="25">
        <v>17468</v>
      </c>
      <c r="I318" s="25">
        <v>285</v>
      </c>
      <c r="J318" s="25">
        <v>3864</v>
      </c>
      <c r="K318" s="25">
        <v>19796</v>
      </c>
      <c r="L318" s="25">
        <v>54245</v>
      </c>
      <c r="M318" s="25">
        <v>74041</v>
      </c>
      <c r="N318" s="31">
        <v>0.27</v>
      </c>
      <c r="O318" s="25">
        <v>58</v>
      </c>
      <c r="P318" s="25">
        <v>0</v>
      </c>
      <c r="Q318" s="25">
        <v>815</v>
      </c>
      <c r="R318" s="25">
        <v>46</v>
      </c>
      <c r="S318" s="25">
        <v>11</v>
      </c>
      <c r="T318" s="25">
        <v>62</v>
      </c>
      <c r="U318" s="61">
        <v>19</v>
      </c>
      <c r="V318" s="58">
        <v>1.8E-3</v>
      </c>
      <c r="W318" s="33">
        <v>4.0000000000000001E-3</v>
      </c>
      <c r="X318" s="33">
        <v>1.5E-3</v>
      </c>
      <c r="Y318" s="12" t="s">
        <v>3926</v>
      </c>
      <c r="Z318" s="33">
        <v>2.7699999999999999E-2</v>
      </c>
      <c r="AA318" s="12" t="s">
        <v>3926</v>
      </c>
      <c r="AB318" s="25">
        <v>2871</v>
      </c>
      <c r="AC318" s="25">
        <v>54</v>
      </c>
      <c r="AD318" s="25">
        <v>2776</v>
      </c>
      <c r="AE318" s="25">
        <v>0</v>
      </c>
      <c r="AF318" s="25">
        <v>40</v>
      </c>
      <c r="AG318" s="25">
        <v>1</v>
      </c>
      <c r="AH318" s="25">
        <v>0</v>
      </c>
      <c r="AI318" s="12">
        <v>6.54</v>
      </c>
      <c r="AJ318" s="25">
        <v>4711</v>
      </c>
      <c r="AK318" s="25">
        <v>1507</v>
      </c>
      <c r="AL318" s="33">
        <v>0.4703</v>
      </c>
      <c r="AM318" s="3" t="s">
        <v>2556</v>
      </c>
      <c r="AN318" s="12" t="s">
        <v>1262</v>
      </c>
      <c r="AO318" s="12" t="s">
        <v>1262</v>
      </c>
      <c r="AP318" s="12" t="str">
        <f>"175562602481188"</f>
        <v>175562602481188</v>
      </c>
      <c r="AQ318" s="12" t="s">
        <v>1263</v>
      </c>
      <c r="AR318" s="12" t="s">
        <v>5833</v>
      </c>
      <c r="AS318" s="12" t="s">
        <v>1264</v>
      </c>
      <c r="AT318" s="12"/>
      <c r="AU318" s="12" t="s">
        <v>324</v>
      </c>
      <c r="AV318" s="12"/>
      <c r="AW318" s="12"/>
      <c r="AX318" s="12">
        <v>0</v>
      </c>
      <c r="AY318" s="12">
        <v>255</v>
      </c>
      <c r="AZ318" s="12">
        <v>0</v>
      </c>
      <c r="BA318" s="12" t="s">
        <v>1265</v>
      </c>
      <c r="BB318" s="12"/>
      <c r="BC318" s="12" t="s">
        <v>6628</v>
      </c>
      <c r="BD318" s="12"/>
      <c r="BE318" s="12" t="s">
        <v>2291</v>
      </c>
      <c r="BF318" s="12"/>
      <c r="BG318" s="12"/>
      <c r="BH318" s="12"/>
      <c r="BI318" s="12" t="s">
        <v>1266</v>
      </c>
      <c r="BJ318" s="12" t="s">
        <v>1267</v>
      </c>
      <c r="BK318" s="12"/>
      <c r="BL318" s="12" t="s">
        <v>2292</v>
      </c>
      <c r="BM318" s="12" t="s">
        <v>2292</v>
      </c>
      <c r="BN318" s="12" t="s">
        <v>2292</v>
      </c>
      <c r="BO318" s="12" t="s">
        <v>2292</v>
      </c>
      <c r="BP318" s="12" t="s">
        <v>1268</v>
      </c>
      <c r="BQ318" s="12"/>
      <c r="BR318" s="12"/>
      <c r="BS318" s="12"/>
      <c r="BT318" s="12"/>
      <c r="BU318" s="12"/>
      <c r="BV318" s="12"/>
      <c r="BW318" s="12"/>
      <c r="BX318" s="12"/>
      <c r="BY318" s="13" t="s">
        <v>313</v>
      </c>
      <c r="BZ318" s="13" t="s">
        <v>6170</v>
      </c>
      <c r="CA318" s="13" t="s">
        <v>6170</v>
      </c>
      <c r="CB318" s="13" t="s">
        <v>6201</v>
      </c>
      <c r="CC318" s="13"/>
      <c r="CD318" s="13" t="s">
        <v>6198</v>
      </c>
      <c r="CE318" s="13"/>
      <c r="CF318" s="13"/>
    </row>
    <row r="319" spans="1:84" ht="18.600000000000001" customHeight="1" x14ac:dyDescent="0.25">
      <c r="A319" s="28" t="s">
        <v>113</v>
      </c>
      <c r="B319" s="12" t="s">
        <v>335</v>
      </c>
      <c r="C319" s="3" t="s">
        <v>6223</v>
      </c>
      <c r="D319" s="12" t="s">
        <v>6859</v>
      </c>
      <c r="E319" s="12" t="s">
        <v>6242</v>
      </c>
      <c r="F319" s="12" t="s">
        <v>7427</v>
      </c>
      <c r="G319" s="25">
        <v>67021</v>
      </c>
      <c r="H319" s="25">
        <v>51585</v>
      </c>
      <c r="I319" s="25">
        <v>922</v>
      </c>
      <c r="J319" s="25">
        <v>11873</v>
      </c>
      <c r="K319" s="25">
        <v>406589</v>
      </c>
      <c r="L319" s="25">
        <v>228203</v>
      </c>
      <c r="M319" s="25">
        <v>634792</v>
      </c>
      <c r="N319" s="31">
        <v>0.64</v>
      </c>
      <c r="O319" s="25">
        <v>0</v>
      </c>
      <c r="P319" s="25">
        <v>0</v>
      </c>
      <c r="Q319" s="25">
        <v>2152</v>
      </c>
      <c r="R319" s="25">
        <v>160</v>
      </c>
      <c r="S319" s="25">
        <v>22</v>
      </c>
      <c r="T319" s="25">
        <v>282</v>
      </c>
      <c r="U319" s="61">
        <v>25</v>
      </c>
      <c r="V319" s="58">
        <v>2.3999999999999998E-3</v>
      </c>
      <c r="W319" s="33">
        <v>2.8E-3</v>
      </c>
      <c r="X319" s="33">
        <v>8.9999999999999998E-4</v>
      </c>
      <c r="Y319" s="33">
        <v>2.9999999999999997E-4</v>
      </c>
      <c r="Z319" s="33">
        <v>6.1000000000000004E-3</v>
      </c>
      <c r="AA319" s="33">
        <v>6.9999999999999999E-4</v>
      </c>
      <c r="AB319" s="25">
        <v>2190</v>
      </c>
      <c r="AC319" s="25">
        <v>644</v>
      </c>
      <c r="AD319" s="25">
        <v>1079</v>
      </c>
      <c r="AE319" s="25">
        <v>17</v>
      </c>
      <c r="AF319" s="25">
        <v>410</v>
      </c>
      <c r="AG319" s="25">
        <v>0</v>
      </c>
      <c r="AH319" s="25">
        <v>40</v>
      </c>
      <c r="AI319" s="12">
        <v>4.99</v>
      </c>
      <c r="AJ319" s="25">
        <v>14973</v>
      </c>
      <c r="AK319" s="25">
        <v>5059</v>
      </c>
      <c r="AL319" s="33">
        <v>0.51029999999999998</v>
      </c>
      <c r="AM319" s="3" t="s">
        <v>6223</v>
      </c>
      <c r="AN319" s="12" t="s">
        <v>6242</v>
      </c>
      <c r="AO319" s="12" t="s">
        <v>6242</v>
      </c>
      <c r="AP319" s="12" t="str">
        <f>"279601155558784"</f>
        <v>279601155558784</v>
      </c>
      <c r="AQ319" s="12" t="s">
        <v>6859</v>
      </c>
      <c r="AR319" s="12" t="s">
        <v>6860</v>
      </c>
      <c r="AS319" s="12" t="s">
        <v>6861</v>
      </c>
      <c r="AT319" s="12"/>
      <c r="AU319" s="12" t="s">
        <v>324</v>
      </c>
      <c r="AV319" s="12" t="s">
        <v>5731</v>
      </c>
      <c r="AW319" s="12"/>
      <c r="AX319" s="12">
        <v>694</v>
      </c>
      <c r="AY319" s="12">
        <v>3696</v>
      </c>
      <c r="AZ319" s="12">
        <v>694</v>
      </c>
      <c r="BA319" s="12" t="s">
        <v>6862</v>
      </c>
      <c r="BB319" s="12" t="s">
        <v>6863</v>
      </c>
      <c r="BC319" s="12" t="s">
        <v>6864</v>
      </c>
      <c r="BD319" s="12"/>
      <c r="BE319" s="12" t="s">
        <v>2291</v>
      </c>
      <c r="BF319" s="12"/>
      <c r="BG319" s="12"/>
      <c r="BH319" s="12"/>
      <c r="BI319" s="12" t="s">
        <v>6865</v>
      </c>
      <c r="BJ319" s="12" t="s">
        <v>6866</v>
      </c>
      <c r="BK319" s="12" t="s">
        <v>6581</v>
      </c>
      <c r="BL319" s="12" t="s">
        <v>2292</v>
      </c>
      <c r="BM319" s="12" t="s">
        <v>2292</v>
      </c>
      <c r="BN319" s="12" t="s">
        <v>2292</v>
      </c>
      <c r="BO319" s="12" t="s">
        <v>2292</v>
      </c>
      <c r="BP319" s="12"/>
      <c r="BQ319" s="12"/>
      <c r="BR319" s="12"/>
      <c r="BS319" s="12"/>
      <c r="BT319" s="12" t="s">
        <v>6867</v>
      </c>
      <c r="BU319" s="12" t="s">
        <v>326</v>
      </c>
      <c r="BV319" s="12" t="s">
        <v>6868</v>
      </c>
      <c r="BW319" s="12" t="s">
        <v>6869</v>
      </c>
      <c r="BX319" s="12"/>
      <c r="BY319" s="2"/>
      <c r="BZ319" s="13" t="s">
        <v>6170</v>
      </c>
      <c r="CA319" s="13" t="s">
        <v>6170</v>
      </c>
      <c r="CB319" s="13" t="s">
        <v>312</v>
      </c>
      <c r="CC319" s="13"/>
      <c r="CD319" s="13" t="s">
        <v>6198</v>
      </c>
      <c r="CE319" s="13"/>
      <c r="CF319" s="13"/>
    </row>
    <row r="320" spans="1:84" ht="18.600000000000001" customHeight="1" x14ac:dyDescent="0.25">
      <c r="A320" s="60" t="s">
        <v>118</v>
      </c>
      <c r="B320" s="2" t="s">
        <v>4929</v>
      </c>
      <c r="C320" s="3" t="s">
        <v>6239</v>
      </c>
      <c r="D320" s="12" t="s">
        <v>7025</v>
      </c>
      <c r="E320" s="12"/>
      <c r="F320" s="12" t="s">
        <v>7434</v>
      </c>
      <c r="G320" s="25">
        <v>461</v>
      </c>
      <c r="H320" s="25">
        <v>274</v>
      </c>
      <c r="I320" s="25">
        <v>81</v>
      </c>
      <c r="J320" s="25">
        <v>80</v>
      </c>
      <c r="K320" s="25">
        <v>758</v>
      </c>
      <c r="L320" s="25">
        <v>1150</v>
      </c>
      <c r="M320" s="25">
        <v>1908</v>
      </c>
      <c r="N320" s="31">
        <v>0.4</v>
      </c>
      <c r="O320" s="25">
        <v>82</v>
      </c>
      <c r="P320" s="25">
        <v>0</v>
      </c>
      <c r="Q320" s="25">
        <v>26</v>
      </c>
      <c r="R320" s="25">
        <v>0</v>
      </c>
      <c r="S320" s="25">
        <v>0</v>
      </c>
      <c r="T320" s="25">
        <v>0</v>
      </c>
      <c r="U320" s="61">
        <v>0</v>
      </c>
      <c r="V320" s="58">
        <v>2.01E-2</v>
      </c>
      <c r="W320" s="33">
        <v>0</v>
      </c>
      <c r="X320" s="33">
        <v>0</v>
      </c>
      <c r="Y320" s="12" t="s">
        <v>3926</v>
      </c>
      <c r="Z320" s="33">
        <v>3.6299999999999999E-2</v>
      </c>
      <c r="AA320" s="12" t="s">
        <v>3926</v>
      </c>
      <c r="AB320" s="25">
        <v>15</v>
      </c>
      <c r="AC320" s="25">
        <v>8</v>
      </c>
      <c r="AD320" s="25">
        <v>4</v>
      </c>
      <c r="AE320" s="25">
        <v>0</v>
      </c>
      <c r="AF320" s="25">
        <v>2</v>
      </c>
      <c r="AG320" s="25">
        <v>1</v>
      </c>
      <c r="AH320" s="25">
        <v>0</v>
      </c>
      <c r="AI320" s="12">
        <v>0.03</v>
      </c>
      <c r="AJ320" s="25">
        <v>1489</v>
      </c>
      <c r="AK320" s="25">
        <v>0</v>
      </c>
      <c r="AL320" s="31">
        <v>0</v>
      </c>
      <c r="AM320" s="3" t="s">
        <v>6239</v>
      </c>
      <c r="AN320" s="12" t="s">
        <v>7024</v>
      </c>
      <c r="AO320" s="12"/>
      <c r="AP320" s="12" t="str">
        <f>"919861878132744"</f>
        <v>919861878132744</v>
      </c>
      <c r="AQ320" s="12" t="s">
        <v>7025</v>
      </c>
      <c r="AR320" s="12" t="s">
        <v>7026</v>
      </c>
      <c r="AS320" s="12" t="s">
        <v>7027</v>
      </c>
      <c r="AT320" s="12"/>
      <c r="AU320" s="12" t="s">
        <v>309</v>
      </c>
      <c r="AV320" s="12"/>
      <c r="AW320" s="12"/>
      <c r="AX320" s="12">
        <v>0</v>
      </c>
      <c r="AY320" s="12">
        <v>25</v>
      </c>
      <c r="AZ320" s="12">
        <v>0</v>
      </c>
      <c r="BA320" s="12" t="s">
        <v>7028</v>
      </c>
      <c r="BB320" s="12"/>
      <c r="BC320" s="12" t="s">
        <v>7029</v>
      </c>
      <c r="BD320" s="12"/>
      <c r="BE320" s="12" t="s">
        <v>2291</v>
      </c>
      <c r="BF320" s="12"/>
      <c r="BG320" s="12"/>
      <c r="BH320" s="12"/>
      <c r="BI320" s="12"/>
      <c r="BJ320" s="12"/>
      <c r="BK320" s="12"/>
      <c r="BL320" s="12" t="s">
        <v>2292</v>
      </c>
      <c r="BM320" s="12" t="s">
        <v>2292</v>
      </c>
      <c r="BN320" s="12" t="s">
        <v>2292</v>
      </c>
      <c r="BO320" s="12" t="s">
        <v>2292</v>
      </c>
      <c r="BP320" s="12"/>
      <c r="BQ320" s="12"/>
      <c r="BR320" s="12"/>
      <c r="BS320" s="12"/>
      <c r="BT320" s="12"/>
      <c r="BU320" s="12"/>
      <c r="BV320" s="12"/>
      <c r="BW320" s="12"/>
      <c r="BX320" s="12"/>
      <c r="BY320" s="13"/>
      <c r="BZ320" s="13" t="s">
        <v>6170</v>
      </c>
      <c r="CA320" s="13" t="s">
        <v>6170</v>
      </c>
      <c r="CB320" s="13" t="s">
        <v>312</v>
      </c>
      <c r="CC320" s="13"/>
      <c r="CD320" s="13" t="s">
        <v>6198</v>
      </c>
      <c r="CE320" s="13"/>
      <c r="CF320" s="13"/>
    </row>
    <row r="321" spans="1:84" ht="18.600000000000001" customHeight="1" x14ac:dyDescent="0.25">
      <c r="A321" s="60" t="s">
        <v>118</v>
      </c>
      <c r="B321" s="2" t="s">
        <v>335</v>
      </c>
      <c r="C321" s="3" t="s">
        <v>3170</v>
      </c>
      <c r="D321" s="12" t="s">
        <v>3263</v>
      </c>
      <c r="E321" s="12" t="s">
        <v>3262</v>
      </c>
      <c r="F321" s="12" t="s">
        <v>4200</v>
      </c>
      <c r="G321" s="25">
        <v>0</v>
      </c>
      <c r="H321" s="25">
        <v>0</v>
      </c>
      <c r="I321" s="25">
        <v>0</v>
      </c>
      <c r="J321" s="25">
        <v>0</v>
      </c>
      <c r="K321" s="25">
        <v>0</v>
      </c>
      <c r="L321" s="25">
        <v>0</v>
      </c>
      <c r="M321" s="25">
        <v>0</v>
      </c>
      <c r="N321" s="31">
        <v>0</v>
      </c>
      <c r="O321" s="25">
        <v>0</v>
      </c>
      <c r="P321" s="25">
        <v>0</v>
      </c>
      <c r="Q321" s="25">
        <v>0</v>
      </c>
      <c r="R321" s="25">
        <v>0</v>
      </c>
      <c r="S321" s="25">
        <v>0</v>
      </c>
      <c r="T321" s="25">
        <v>0</v>
      </c>
      <c r="U321" s="61">
        <v>0</v>
      </c>
      <c r="V321" s="59"/>
      <c r="W321" s="12" t="s">
        <v>3926</v>
      </c>
      <c r="X321" s="12" t="s">
        <v>3926</v>
      </c>
      <c r="Y321" s="12" t="s">
        <v>3926</v>
      </c>
      <c r="Z321" s="12" t="s">
        <v>3926</v>
      </c>
      <c r="AA321" s="12" t="s">
        <v>3926</v>
      </c>
      <c r="AB321" s="25" t="s">
        <v>3927</v>
      </c>
      <c r="AC321" s="25">
        <v>0</v>
      </c>
      <c r="AD321" s="25">
        <v>0</v>
      </c>
      <c r="AE321" s="25">
        <v>0</v>
      </c>
      <c r="AF321" s="25">
        <v>0</v>
      </c>
      <c r="AG321" s="25">
        <v>0</v>
      </c>
      <c r="AH321" s="25">
        <v>0</v>
      </c>
      <c r="AI321" s="12">
        <v>0</v>
      </c>
      <c r="AJ321" s="25">
        <v>321</v>
      </c>
      <c r="AK321" s="25">
        <v>47</v>
      </c>
      <c r="AL321" s="33">
        <v>0.17150000000000001</v>
      </c>
      <c r="AM321" s="3" t="s">
        <v>3170</v>
      </c>
      <c r="AN321" s="12" t="s">
        <v>3262</v>
      </c>
      <c r="AO321" s="12" t="s">
        <v>3262</v>
      </c>
      <c r="AP321" s="12" t="str">
        <f>"369798966373666"</f>
        <v>369798966373666</v>
      </c>
      <c r="AQ321" s="12" t="s">
        <v>3263</v>
      </c>
      <c r="AR321" s="12"/>
      <c r="AS321" s="12" t="s">
        <v>3264</v>
      </c>
      <c r="AT321" s="12"/>
      <c r="AU321" s="12" t="s">
        <v>324</v>
      </c>
      <c r="AV321" s="12"/>
      <c r="AW321" s="12"/>
      <c r="AX321" s="12">
        <v>0</v>
      </c>
      <c r="AY321" s="12">
        <v>0</v>
      </c>
      <c r="AZ321" s="12">
        <v>0</v>
      </c>
      <c r="BA321" s="12" t="s">
        <v>3265</v>
      </c>
      <c r="BB321" s="12"/>
      <c r="BC321" s="12" t="s">
        <v>6905</v>
      </c>
      <c r="BD321" s="12"/>
      <c r="BE321" s="12" t="s">
        <v>2291</v>
      </c>
      <c r="BF321" s="12"/>
      <c r="BG321" s="12"/>
      <c r="BH321" s="12"/>
      <c r="BI321" s="12"/>
      <c r="BJ321" s="12"/>
      <c r="BK321" s="12"/>
      <c r="BL321" s="12" t="s">
        <v>2292</v>
      </c>
      <c r="BM321" s="12" t="s">
        <v>2292</v>
      </c>
      <c r="BN321" s="12" t="s">
        <v>2292</v>
      </c>
      <c r="BO321" s="12" t="s">
        <v>2292</v>
      </c>
      <c r="BP321" s="12"/>
      <c r="BQ321" s="12"/>
      <c r="BR321" s="12"/>
      <c r="BS321" s="12"/>
      <c r="BT321" s="12"/>
      <c r="BU321" s="12"/>
      <c r="BV321" s="12"/>
      <c r="BW321" s="12"/>
      <c r="BX321" s="12"/>
      <c r="BY321" s="9" t="s">
        <v>3707</v>
      </c>
      <c r="BZ321" s="13" t="s">
        <v>6170</v>
      </c>
      <c r="CA321" s="13" t="s">
        <v>6170</v>
      </c>
      <c r="CB321" s="13" t="s">
        <v>312</v>
      </c>
      <c r="CC321" s="13"/>
      <c r="CD321" s="13" t="s">
        <v>6198</v>
      </c>
      <c r="CE321" s="13"/>
      <c r="CF321" s="13"/>
    </row>
    <row r="322" spans="1:84" ht="18.600000000000001" customHeight="1" x14ac:dyDescent="0.25">
      <c r="A322" s="60" t="s">
        <v>114</v>
      </c>
      <c r="B322" s="2" t="s">
        <v>3725</v>
      </c>
      <c r="C322" s="20" t="s">
        <v>3726</v>
      </c>
      <c r="D322" s="12" t="s">
        <v>3736</v>
      </c>
      <c r="E322" s="12" t="s">
        <v>3735</v>
      </c>
      <c r="F322" s="12" t="s">
        <v>3932</v>
      </c>
      <c r="G322" s="25">
        <v>1034258</v>
      </c>
      <c r="H322" s="25">
        <v>743878</v>
      </c>
      <c r="I322" s="25">
        <v>229972</v>
      </c>
      <c r="J322" s="25">
        <v>35319</v>
      </c>
      <c r="K322" s="25">
        <v>2303340</v>
      </c>
      <c r="L322" s="25">
        <v>480491</v>
      </c>
      <c r="M322" s="25">
        <v>2783831</v>
      </c>
      <c r="N322" s="31">
        <v>0.83</v>
      </c>
      <c r="O322" s="25">
        <v>0</v>
      </c>
      <c r="P322" s="25">
        <v>0</v>
      </c>
      <c r="Q322" s="25">
        <v>10754</v>
      </c>
      <c r="R322" s="25">
        <v>800</v>
      </c>
      <c r="S322" s="25">
        <v>10156</v>
      </c>
      <c r="T322" s="25">
        <v>1156</v>
      </c>
      <c r="U322" s="61">
        <v>2219</v>
      </c>
      <c r="V322" s="58">
        <v>5.4000000000000003E-3</v>
      </c>
      <c r="W322" s="33">
        <v>5.7000000000000002E-3</v>
      </c>
      <c r="X322" s="12" t="s">
        <v>3926</v>
      </c>
      <c r="Y322" s="33">
        <v>4.1000000000000003E-3</v>
      </c>
      <c r="Z322" s="33">
        <v>8.6E-3</v>
      </c>
      <c r="AA322" s="12" t="s">
        <v>3926</v>
      </c>
      <c r="AB322" s="25">
        <v>1108</v>
      </c>
      <c r="AC322" s="25">
        <v>791</v>
      </c>
      <c r="AD322" s="25">
        <v>0</v>
      </c>
      <c r="AE322" s="25">
        <v>234</v>
      </c>
      <c r="AF322" s="25">
        <v>83</v>
      </c>
      <c r="AG322" s="25">
        <v>0</v>
      </c>
      <c r="AH322" s="25">
        <v>0</v>
      </c>
      <c r="AI322" s="12">
        <v>2.52</v>
      </c>
      <c r="AJ322" s="25">
        <v>256446</v>
      </c>
      <c r="AK322" s="25">
        <v>181996</v>
      </c>
      <c r="AL322" s="33">
        <v>2.4445000000000001</v>
      </c>
      <c r="AM322" s="20" t="s">
        <v>3726</v>
      </c>
      <c r="AN322" s="12" t="s">
        <v>3735</v>
      </c>
      <c r="AO322" s="12" t="s">
        <v>3735</v>
      </c>
      <c r="AP322" s="12" t="str">
        <f>"351127815011487"</f>
        <v>351127815011487</v>
      </c>
      <c r="AQ322" s="12" t="s">
        <v>3736</v>
      </c>
      <c r="AR322" s="12" t="s">
        <v>3724</v>
      </c>
      <c r="AS322" s="12" t="s">
        <v>3737</v>
      </c>
      <c r="AT322" s="12" t="s">
        <v>3738</v>
      </c>
      <c r="AU322" s="12" t="s">
        <v>424</v>
      </c>
      <c r="AV322" s="12"/>
      <c r="AW322" s="12"/>
      <c r="AX322" s="12">
        <v>0</v>
      </c>
      <c r="AY322" s="12">
        <v>3789</v>
      </c>
      <c r="AZ322" s="12">
        <v>0</v>
      </c>
      <c r="BA322" s="12" t="s">
        <v>3739</v>
      </c>
      <c r="BB322" s="12"/>
      <c r="BC322" s="12" t="s">
        <v>6267</v>
      </c>
      <c r="BD322" s="12"/>
      <c r="BE322" s="12" t="s">
        <v>2291</v>
      </c>
      <c r="BF322" s="12"/>
      <c r="BG322" s="12"/>
      <c r="BH322" s="12"/>
      <c r="BI322" s="12"/>
      <c r="BJ322" s="12"/>
      <c r="BK322" s="12"/>
      <c r="BL322" s="12" t="s">
        <v>2292</v>
      </c>
      <c r="BM322" s="12" t="s">
        <v>2292</v>
      </c>
      <c r="BN322" s="12" t="s">
        <v>2292</v>
      </c>
      <c r="BO322" s="12" t="s">
        <v>2292</v>
      </c>
      <c r="BP322" s="12"/>
      <c r="BQ322" s="12"/>
      <c r="BR322" s="12"/>
      <c r="BS322" s="12"/>
      <c r="BT322" s="12"/>
      <c r="BU322" s="12"/>
      <c r="BV322" s="12"/>
      <c r="BW322" s="12"/>
      <c r="BX322" s="12"/>
      <c r="BY322" s="13" t="s">
        <v>313</v>
      </c>
      <c r="BZ322" s="13" t="s">
        <v>6170</v>
      </c>
      <c r="CA322" s="13" t="s">
        <v>6170</v>
      </c>
      <c r="CB322" s="13" t="s">
        <v>312</v>
      </c>
      <c r="CC322" s="13"/>
      <c r="CD322" s="13" t="s">
        <v>6198</v>
      </c>
      <c r="CE322" s="13"/>
      <c r="CF322" s="13"/>
    </row>
    <row r="323" spans="1:84" ht="18.600000000000001" customHeight="1" x14ac:dyDescent="0.25">
      <c r="A323" s="60" t="s">
        <v>119</v>
      </c>
      <c r="B323" s="2" t="s">
        <v>5010</v>
      </c>
      <c r="C323" s="3" t="s">
        <v>5011</v>
      </c>
      <c r="D323" s="12" t="s">
        <v>5181</v>
      </c>
      <c r="E323" s="12" t="s">
        <v>5650</v>
      </c>
      <c r="F323" s="12" t="s">
        <v>5182</v>
      </c>
      <c r="G323" s="25">
        <v>320122</v>
      </c>
      <c r="H323" s="25">
        <v>300751</v>
      </c>
      <c r="I323" s="25">
        <v>9780</v>
      </c>
      <c r="J323" s="25">
        <v>5546</v>
      </c>
      <c r="K323" s="25">
        <v>372688</v>
      </c>
      <c r="L323" s="25">
        <v>254063</v>
      </c>
      <c r="M323" s="25">
        <v>626751</v>
      </c>
      <c r="N323" s="31">
        <v>0.59</v>
      </c>
      <c r="O323" s="25">
        <v>0</v>
      </c>
      <c r="P323" s="25">
        <v>87653</v>
      </c>
      <c r="Q323" s="25">
        <v>2866</v>
      </c>
      <c r="R323" s="25">
        <v>165</v>
      </c>
      <c r="S323" s="25">
        <v>368</v>
      </c>
      <c r="T323" s="25">
        <v>389</v>
      </c>
      <c r="U323" s="61">
        <v>257</v>
      </c>
      <c r="V323" s="58">
        <v>2.52E-2</v>
      </c>
      <c r="W323" s="33">
        <v>2.5700000000000001E-2</v>
      </c>
      <c r="X323" s="33">
        <v>1.7899999999999999E-2</v>
      </c>
      <c r="Y323" s="33">
        <v>8.9999999999999993E-3</v>
      </c>
      <c r="Z323" s="33">
        <v>1.5299999999999999E-2</v>
      </c>
      <c r="AA323" s="33">
        <v>2.2700000000000001E-2</v>
      </c>
      <c r="AB323" s="25">
        <v>262</v>
      </c>
      <c r="AC323" s="25">
        <v>208</v>
      </c>
      <c r="AD323" s="25">
        <v>1</v>
      </c>
      <c r="AE323" s="25">
        <v>6</v>
      </c>
      <c r="AF323" s="25">
        <v>46</v>
      </c>
      <c r="AG323" s="25">
        <v>0</v>
      </c>
      <c r="AH323" s="25">
        <v>1</v>
      </c>
      <c r="AI323" s="12">
        <v>0.6</v>
      </c>
      <c r="AJ323" s="25">
        <v>100397</v>
      </c>
      <c r="AK323" s="25">
        <v>0</v>
      </c>
      <c r="AL323" s="31">
        <v>0</v>
      </c>
      <c r="AM323" s="3" t="s">
        <v>5011</v>
      </c>
      <c r="AN323" s="12" t="s">
        <v>5317</v>
      </c>
      <c r="AO323" s="12" t="s">
        <v>5650</v>
      </c>
      <c r="AP323" s="12" t="str">
        <f>"1477517792294489"</f>
        <v>1477517792294489</v>
      </c>
      <c r="AQ323" s="12" t="s">
        <v>5181</v>
      </c>
      <c r="AR323" s="12" t="s">
        <v>5849</v>
      </c>
      <c r="AS323" s="12" t="s">
        <v>5850</v>
      </c>
      <c r="AT323" s="12" t="s">
        <v>5318</v>
      </c>
      <c r="AU323" s="12" t="s">
        <v>319</v>
      </c>
      <c r="AV323" s="12" t="s">
        <v>5773</v>
      </c>
      <c r="AW323" s="12"/>
      <c r="AX323" s="12">
        <v>4</v>
      </c>
      <c r="AY323" s="12">
        <v>11916</v>
      </c>
      <c r="AZ323" s="12">
        <v>0</v>
      </c>
      <c r="BA323" s="12" t="s">
        <v>5851</v>
      </c>
      <c r="BB323" s="12" t="s">
        <v>6669</v>
      </c>
      <c r="BC323" s="12" t="s">
        <v>6670</v>
      </c>
      <c r="BD323" s="12"/>
      <c r="BE323" s="12" t="s">
        <v>2291</v>
      </c>
      <c r="BF323" s="12"/>
      <c r="BG323" s="12"/>
      <c r="BH323" s="12"/>
      <c r="BI323" s="12" t="s">
        <v>5850</v>
      </c>
      <c r="BJ323" s="12"/>
      <c r="BK323" s="12"/>
      <c r="BL323" s="12" t="s">
        <v>2292</v>
      </c>
      <c r="BM323" s="12" t="s">
        <v>2292</v>
      </c>
      <c r="BN323" s="12" t="s">
        <v>2292</v>
      </c>
      <c r="BO323" s="12" t="s">
        <v>2291</v>
      </c>
      <c r="BP323" s="12"/>
      <c r="BQ323" s="12"/>
      <c r="BR323" s="12"/>
      <c r="BS323" s="12"/>
      <c r="BT323" s="12"/>
      <c r="BU323" s="12" t="s">
        <v>326</v>
      </c>
      <c r="BV323" s="12"/>
      <c r="BW323" s="12" t="s">
        <v>5852</v>
      </c>
      <c r="BX323" s="12"/>
      <c r="BY323" s="13" t="s">
        <v>313</v>
      </c>
      <c r="BZ323" s="13" t="s">
        <v>6170</v>
      </c>
      <c r="CA323" s="13" t="s">
        <v>6170</v>
      </c>
      <c r="CB323" s="13" t="s">
        <v>6202</v>
      </c>
      <c r="CC323" s="13" t="s">
        <v>6187</v>
      </c>
      <c r="CD323" s="13" t="s">
        <v>6195</v>
      </c>
      <c r="CE323" s="13"/>
      <c r="CF323" s="13"/>
    </row>
    <row r="324" spans="1:84" ht="18.600000000000001" customHeight="1" x14ac:dyDescent="0.25">
      <c r="A324" s="60" t="s">
        <v>119</v>
      </c>
      <c r="B324" s="2" t="s">
        <v>1274</v>
      </c>
      <c r="C324" s="3" t="s">
        <v>2451</v>
      </c>
      <c r="D324" s="12" t="s">
        <v>1269</v>
      </c>
      <c r="E324" s="12" t="s">
        <v>1270</v>
      </c>
      <c r="F324" s="12" t="s">
        <v>4025</v>
      </c>
      <c r="G324" s="25">
        <v>13162670</v>
      </c>
      <c r="H324" s="25">
        <v>11036875</v>
      </c>
      <c r="I324" s="25">
        <v>883110</v>
      </c>
      <c r="J324" s="25">
        <v>701046</v>
      </c>
      <c r="K324" s="25">
        <v>84100849</v>
      </c>
      <c r="L324" s="25">
        <v>21053258</v>
      </c>
      <c r="M324" s="25">
        <v>105154107</v>
      </c>
      <c r="N324" s="31">
        <v>0.8</v>
      </c>
      <c r="O324" s="25">
        <v>138424</v>
      </c>
      <c r="P324" s="25">
        <v>19592156</v>
      </c>
      <c r="Q324" s="25">
        <v>337543</v>
      </c>
      <c r="R324" s="25">
        <v>26266</v>
      </c>
      <c r="S324" s="25">
        <v>130859</v>
      </c>
      <c r="T324" s="25">
        <v>20714</v>
      </c>
      <c r="U324" s="61">
        <v>25275</v>
      </c>
      <c r="V324" s="58">
        <v>5.4000000000000003E-3</v>
      </c>
      <c r="W324" s="33">
        <v>6.3E-3</v>
      </c>
      <c r="X324" s="33">
        <v>3.8999999999999998E-3</v>
      </c>
      <c r="Y324" s="33">
        <v>5.4000000000000003E-3</v>
      </c>
      <c r="Z324" s="33">
        <v>4.7999999999999996E-3</v>
      </c>
      <c r="AA324" s="33">
        <v>7.3000000000000001E-3</v>
      </c>
      <c r="AB324" s="25">
        <v>2229</v>
      </c>
      <c r="AC324" s="25">
        <v>898</v>
      </c>
      <c r="AD324" s="25">
        <v>64</v>
      </c>
      <c r="AE324" s="25">
        <v>173</v>
      </c>
      <c r="AF324" s="25">
        <v>1087</v>
      </c>
      <c r="AG324" s="25">
        <v>3</v>
      </c>
      <c r="AH324" s="25">
        <v>4</v>
      </c>
      <c r="AI324" s="12">
        <v>5.08</v>
      </c>
      <c r="AJ324" s="25">
        <v>1136706</v>
      </c>
      <c r="AK324" s="25">
        <v>116921</v>
      </c>
      <c r="AL324" s="33">
        <v>0.1147</v>
      </c>
      <c r="AM324" s="3" t="s">
        <v>2451</v>
      </c>
      <c r="AN324" s="12" t="s">
        <v>1270</v>
      </c>
      <c r="AO324" s="12" t="s">
        <v>1270</v>
      </c>
      <c r="AP324" s="12" t="str">
        <f>"138734771522"</f>
        <v>138734771522</v>
      </c>
      <c r="AQ324" s="12" t="s">
        <v>1269</v>
      </c>
      <c r="AR324" s="12" t="s">
        <v>4946</v>
      </c>
      <c r="AS324" s="12" t="s">
        <v>1271</v>
      </c>
      <c r="AT324" s="12"/>
      <c r="AU324" s="12" t="s">
        <v>319</v>
      </c>
      <c r="AV324" s="12"/>
      <c r="AW324" s="12"/>
      <c r="AX324" s="12">
        <v>0</v>
      </c>
      <c r="AY324" s="12">
        <v>60046</v>
      </c>
      <c r="AZ324" s="12">
        <v>0</v>
      </c>
      <c r="BA324" s="12" t="s">
        <v>1272</v>
      </c>
      <c r="BB324" s="12" t="s">
        <v>6489</v>
      </c>
      <c r="BC324" s="12" t="s">
        <v>6490</v>
      </c>
      <c r="BD324" s="12"/>
      <c r="BE324" s="12" t="s">
        <v>2291</v>
      </c>
      <c r="BF324" s="12"/>
      <c r="BG324" s="12"/>
      <c r="BH324" s="12"/>
      <c r="BI324" s="12"/>
      <c r="BJ324" s="12"/>
      <c r="BK324" s="12"/>
      <c r="BL324" s="12" t="s">
        <v>2292</v>
      </c>
      <c r="BM324" s="12" t="s">
        <v>2292</v>
      </c>
      <c r="BN324" s="12" t="s">
        <v>2292</v>
      </c>
      <c r="BO324" s="12" t="s">
        <v>2291</v>
      </c>
      <c r="BP324" s="12"/>
      <c r="BQ324" s="12"/>
      <c r="BR324" s="12"/>
      <c r="BS324" s="12"/>
      <c r="BT324" s="12"/>
      <c r="BU324" s="12"/>
      <c r="BV324" s="12"/>
      <c r="BW324" s="12" t="s">
        <v>1273</v>
      </c>
      <c r="BX324" s="12"/>
      <c r="BY324" s="13" t="s">
        <v>313</v>
      </c>
      <c r="BZ324" s="13" t="s">
        <v>312</v>
      </c>
      <c r="CA324" s="13"/>
      <c r="CB324" s="13"/>
      <c r="CC324" s="13"/>
      <c r="CD324" s="13"/>
      <c r="CE324" s="13"/>
      <c r="CF324" s="13"/>
    </row>
    <row r="325" spans="1:84" ht="18.600000000000001" customHeight="1" x14ac:dyDescent="0.25">
      <c r="A325" s="60" t="s">
        <v>119</v>
      </c>
      <c r="B325" s="2" t="s">
        <v>315</v>
      </c>
      <c r="C325" s="3" t="s">
        <v>3498</v>
      </c>
      <c r="D325" s="12" t="s">
        <v>3598</v>
      </c>
      <c r="E325" s="12"/>
      <c r="F325" s="12" t="s">
        <v>4485</v>
      </c>
      <c r="G325" s="25">
        <v>410</v>
      </c>
      <c r="H325" s="25">
        <v>392</v>
      </c>
      <c r="I325" s="25">
        <v>6</v>
      </c>
      <c r="J325" s="25">
        <v>8</v>
      </c>
      <c r="K325" s="25">
        <v>0</v>
      </c>
      <c r="L325" s="25">
        <v>0</v>
      </c>
      <c r="M325" s="25">
        <v>0</v>
      </c>
      <c r="N325" s="31">
        <v>0</v>
      </c>
      <c r="O325" s="25">
        <v>898</v>
      </c>
      <c r="P325" s="25">
        <v>0</v>
      </c>
      <c r="Q325" s="25">
        <v>2</v>
      </c>
      <c r="R325" s="25">
        <v>0</v>
      </c>
      <c r="S325" s="25">
        <v>1</v>
      </c>
      <c r="T325" s="25">
        <v>1</v>
      </c>
      <c r="U325" s="61">
        <v>0</v>
      </c>
      <c r="V325" s="58">
        <v>6.6E-3</v>
      </c>
      <c r="W325" s="33">
        <v>7.4999999999999997E-3</v>
      </c>
      <c r="X325" s="33">
        <v>4.1000000000000003E-3</v>
      </c>
      <c r="Y325" s="33">
        <v>5.7000000000000002E-3</v>
      </c>
      <c r="Z325" s="12" t="s">
        <v>3926</v>
      </c>
      <c r="AA325" s="12" t="s">
        <v>3926</v>
      </c>
      <c r="AB325" s="25">
        <v>59</v>
      </c>
      <c r="AC325" s="25">
        <v>36</v>
      </c>
      <c r="AD325" s="25">
        <v>6</v>
      </c>
      <c r="AE325" s="25">
        <v>1</v>
      </c>
      <c r="AF325" s="25">
        <v>0</v>
      </c>
      <c r="AG325" s="25">
        <v>16</v>
      </c>
      <c r="AH325" s="25">
        <v>0</v>
      </c>
      <c r="AI325" s="12">
        <v>0.13</v>
      </c>
      <c r="AJ325" s="25">
        <v>1164</v>
      </c>
      <c r="AK325" s="25">
        <v>395</v>
      </c>
      <c r="AL325" s="33">
        <v>0.51370000000000005</v>
      </c>
      <c r="AM325" s="3" t="s">
        <v>3498</v>
      </c>
      <c r="AN325" s="12" t="s">
        <v>5347</v>
      </c>
      <c r="AO325" s="12"/>
      <c r="AP325" s="12" t="str">
        <f>"772125672825922"</f>
        <v>772125672825922</v>
      </c>
      <c r="AQ325" s="12" t="s">
        <v>3598</v>
      </c>
      <c r="AR325" s="12" t="s">
        <v>3599</v>
      </c>
      <c r="AS325" s="12" t="s">
        <v>3600</v>
      </c>
      <c r="AT325" s="12"/>
      <c r="AU325" s="12" t="s">
        <v>324</v>
      </c>
      <c r="AV325" s="12"/>
      <c r="AW325" s="12"/>
      <c r="AX325" s="12">
        <v>0</v>
      </c>
      <c r="AY325" s="12">
        <v>29</v>
      </c>
      <c r="AZ325" s="12">
        <v>0</v>
      </c>
      <c r="BA325" s="12" t="s">
        <v>3601</v>
      </c>
      <c r="BB325" s="12"/>
      <c r="BC325" s="12" t="s">
        <v>6752</v>
      </c>
      <c r="BD325" s="12"/>
      <c r="BE325" s="12" t="s">
        <v>2291</v>
      </c>
      <c r="BF325" s="12"/>
      <c r="BG325" s="12"/>
      <c r="BH325" s="12"/>
      <c r="BI325" s="12"/>
      <c r="BJ325" s="12"/>
      <c r="BK325" s="12"/>
      <c r="BL325" s="12" t="s">
        <v>2292</v>
      </c>
      <c r="BM325" s="12" t="s">
        <v>2292</v>
      </c>
      <c r="BN325" s="12" t="s">
        <v>2292</v>
      </c>
      <c r="BO325" s="12" t="s">
        <v>2292</v>
      </c>
      <c r="BP325" s="12"/>
      <c r="BQ325" s="12"/>
      <c r="BR325" s="12"/>
      <c r="BS325" s="12"/>
      <c r="BT325" s="12"/>
      <c r="BU325" s="12"/>
      <c r="BV325" s="12"/>
      <c r="BW325" s="12"/>
      <c r="BX325" s="12"/>
      <c r="BY325" s="13" t="s">
        <v>313</v>
      </c>
      <c r="BZ325" s="13" t="s">
        <v>6170</v>
      </c>
      <c r="CA325" s="13" t="s">
        <v>6170</v>
      </c>
      <c r="CB325" s="13" t="s">
        <v>312</v>
      </c>
      <c r="CC325" s="13"/>
      <c r="CD325" s="13" t="s">
        <v>6198</v>
      </c>
      <c r="CE325" s="13"/>
      <c r="CF325" s="13"/>
    </row>
    <row r="326" spans="1:84" ht="18.600000000000001" customHeight="1" x14ac:dyDescent="0.25">
      <c r="A326" s="60" t="s">
        <v>119</v>
      </c>
      <c r="B326" s="2" t="s">
        <v>1277</v>
      </c>
      <c r="C326" s="3" t="s">
        <v>3504</v>
      </c>
      <c r="D326" s="12" t="s">
        <v>1275</v>
      </c>
      <c r="E326" s="12" t="s">
        <v>3548</v>
      </c>
      <c r="F326" s="12" t="s">
        <v>4013</v>
      </c>
      <c r="G326" s="25">
        <v>215673</v>
      </c>
      <c r="H326" s="25">
        <v>189220</v>
      </c>
      <c r="I326" s="25">
        <v>8858</v>
      </c>
      <c r="J326" s="25">
        <v>14090</v>
      </c>
      <c r="K326" s="25">
        <v>988185</v>
      </c>
      <c r="L326" s="25">
        <v>278485</v>
      </c>
      <c r="M326" s="25">
        <v>1266670</v>
      </c>
      <c r="N326" s="31">
        <v>0.78</v>
      </c>
      <c r="O326" s="25">
        <v>155982</v>
      </c>
      <c r="P326" s="25">
        <v>252738</v>
      </c>
      <c r="Q326" s="25">
        <v>2670</v>
      </c>
      <c r="R326" s="25">
        <v>141</v>
      </c>
      <c r="S326" s="25">
        <v>179</v>
      </c>
      <c r="T326" s="25">
        <v>188</v>
      </c>
      <c r="U326" s="61">
        <v>313</v>
      </c>
      <c r="V326" s="58">
        <v>5.0000000000000001E-3</v>
      </c>
      <c r="W326" s="33">
        <v>5.7999999999999996E-3</v>
      </c>
      <c r="X326" s="33">
        <v>2.5000000000000001E-3</v>
      </c>
      <c r="Y326" s="33">
        <v>6.0000000000000001E-3</v>
      </c>
      <c r="Z326" s="33">
        <v>5.5999999999999999E-3</v>
      </c>
      <c r="AA326" s="33">
        <v>3.8E-3</v>
      </c>
      <c r="AB326" s="25">
        <v>705</v>
      </c>
      <c r="AC326" s="25">
        <v>452</v>
      </c>
      <c r="AD326" s="25">
        <v>9</v>
      </c>
      <c r="AE326" s="25">
        <v>22</v>
      </c>
      <c r="AF326" s="25">
        <v>174</v>
      </c>
      <c r="AG326" s="25">
        <v>34</v>
      </c>
      <c r="AH326" s="25">
        <v>14</v>
      </c>
      <c r="AI326" s="12">
        <v>1.61</v>
      </c>
      <c r="AJ326" s="25">
        <v>67987</v>
      </c>
      <c r="AK326" s="25">
        <v>32778</v>
      </c>
      <c r="AL326" s="33">
        <v>0.93100000000000005</v>
      </c>
      <c r="AM326" s="3" t="s">
        <v>3504</v>
      </c>
      <c r="AN326" s="12" t="s">
        <v>3548</v>
      </c>
      <c r="AO326" s="12" t="s">
        <v>3548</v>
      </c>
      <c r="AP326" s="12" t="str">
        <f>"523765691070551"</f>
        <v>523765691070551</v>
      </c>
      <c r="AQ326" s="12" t="s">
        <v>1275</v>
      </c>
      <c r="AR326" s="12" t="s">
        <v>1276</v>
      </c>
      <c r="AS326" s="12" t="s">
        <v>5800</v>
      </c>
      <c r="AT326" s="12"/>
      <c r="AU326" s="12" t="s">
        <v>319</v>
      </c>
      <c r="AV326" s="12"/>
      <c r="AW326" s="12"/>
      <c r="AX326" s="12">
        <v>0</v>
      </c>
      <c r="AY326" s="12">
        <v>1180</v>
      </c>
      <c r="AZ326" s="12">
        <v>0</v>
      </c>
      <c r="BA326" s="12" t="s">
        <v>3549</v>
      </c>
      <c r="BB326" s="12"/>
      <c r="BC326" s="12" t="s">
        <v>6463</v>
      </c>
      <c r="BD326" s="12"/>
      <c r="BE326" s="12" t="s">
        <v>2291</v>
      </c>
      <c r="BF326" s="12"/>
      <c r="BG326" s="12"/>
      <c r="BH326" s="12"/>
      <c r="BI326" s="12"/>
      <c r="BJ326" s="12"/>
      <c r="BK326" s="12"/>
      <c r="BL326" s="12" t="s">
        <v>2292</v>
      </c>
      <c r="BM326" s="12" t="s">
        <v>2292</v>
      </c>
      <c r="BN326" s="12" t="s">
        <v>2292</v>
      </c>
      <c r="BO326" s="12" t="s">
        <v>2291</v>
      </c>
      <c r="BP326" s="12"/>
      <c r="BQ326" s="12"/>
      <c r="BR326" s="12"/>
      <c r="BS326" s="12"/>
      <c r="BT326" s="12"/>
      <c r="BU326" s="12"/>
      <c r="BV326" s="12"/>
      <c r="BW326" s="12"/>
      <c r="BX326" s="12"/>
      <c r="BY326" s="13" t="s">
        <v>313</v>
      </c>
      <c r="BZ326" s="13" t="s">
        <v>6171</v>
      </c>
      <c r="CA326" s="13"/>
      <c r="CB326" s="13"/>
      <c r="CC326" s="13"/>
      <c r="CD326" s="13"/>
      <c r="CE326" s="13"/>
      <c r="CF326" s="13"/>
    </row>
    <row r="327" spans="1:84" ht="18.600000000000001" customHeight="1" x14ac:dyDescent="0.25">
      <c r="A327" s="60" t="s">
        <v>119</v>
      </c>
      <c r="B327" s="2" t="s">
        <v>335</v>
      </c>
      <c r="C327" s="3" t="s">
        <v>5702</v>
      </c>
      <c r="D327" s="12" t="s">
        <v>5551</v>
      </c>
      <c r="E327" s="12" t="s">
        <v>5552</v>
      </c>
      <c r="F327" s="12" t="s">
        <v>3934</v>
      </c>
      <c r="G327" s="25">
        <v>44013</v>
      </c>
      <c r="H327" s="25">
        <v>35455</v>
      </c>
      <c r="I327" s="25">
        <v>491</v>
      </c>
      <c r="J327" s="25">
        <v>7759</v>
      </c>
      <c r="K327" s="25">
        <v>101595</v>
      </c>
      <c r="L327" s="25">
        <v>146303</v>
      </c>
      <c r="M327" s="25">
        <v>247898</v>
      </c>
      <c r="N327" s="31">
        <v>0.41</v>
      </c>
      <c r="O327" s="25">
        <v>69738</v>
      </c>
      <c r="P327" s="25">
        <v>9671</v>
      </c>
      <c r="Q327" s="25">
        <v>212</v>
      </c>
      <c r="R327" s="25">
        <v>19</v>
      </c>
      <c r="S327" s="25">
        <v>9</v>
      </c>
      <c r="T327" s="25">
        <v>57</v>
      </c>
      <c r="U327" s="61">
        <v>11</v>
      </c>
      <c r="V327" s="58">
        <v>2.2000000000000001E-3</v>
      </c>
      <c r="W327" s="33">
        <v>2.2000000000000001E-3</v>
      </c>
      <c r="X327" s="33">
        <v>2E-3</v>
      </c>
      <c r="Y327" s="33">
        <v>1.5E-3</v>
      </c>
      <c r="Z327" s="33">
        <v>3.0999999999999999E-3</v>
      </c>
      <c r="AA327" s="33">
        <v>1.5E-3</v>
      </c>
      <c r="AB327" s="25">
        <v>979</v>
      </c>
      <c r="AC327" s="25">
        <v>608</v>
      </c>
      <c r="AD327" s="25">
        <v>68</v>
      </c>
      <c r="AE327" s="25">
        <v>1</v>
      </c>
      <c r="AF327" s="25">
        <v>159</v>
      </c>
      <c r="AG327" s="25">
        <v>133</v>
      </c>
      <c r="AH327" s="25">
        <v>10</v>
      </c>
      <c r="AI327" s="12">
        <v>2.23</v>
      </c>
      <c r="AJ327" s="25">
        <v>21256</v>
      </c>
      <c r="AK327" s="25">
        <v>3571</v>
      </c>
      <c r="AL327" s="33">
        <v>0.2019</v>
      </c>
      <c r="AM327" s="3" t="s">
        <v>5702</v>
      </c>
      <c r="AN327" s="12" t="s">
        <v>5552</v>
      </c>
      <c r="AO327" s="12" t="s">
        <v>5552</v>
      </c>
      <c r="AP327" s="12" t="str">
        <f>"165258066922374"</f>
        <v>165258066922374</v>
      </c>
      <c r="AQ327" s="12" t="s">
        <v>5551</v>
      </c>
      <c r="AR327" s="12" t="s">
        <v>1278</v>
      </c>
      <c r="AS327" s="12"/>
      <c r="AT327" s="12"/>
      <c r="AU327" s="12" t="s">
        <v>324</v>
      </c>
      <c r="AV327" s="12" t="s">
        <v>5731</v>
      </c>
      <c r="AW327" s="12"/>
      <c r="AX327" s="12">
        <v>1553</v>
      </c>
      <c r="AY327" s="12">
        <v>237</v>
      </c>
      <c r="AZ327" s="12">
        <v>1553</v>
      </c>
      <c r="BA327" s="12" t="s">
        <v>5734</v>
      </c>
      <c r="BB327" s="12" t="s">
        <v>6276</v>
      </c>
      <c r="BC327" s="12" t="s">
        <v>6277</v>
      </c>
      <c r="BD327" s="12"/>
      <c r="BE327" s="12" t="s">
        <v>2291</v>
      </c>
      <c r="BF327" s="12"/>
      <c r="BG327" s="12"/>
      <c r="BH327" s="12"/>
      <c r="BI327" s="12"/>
      <c r="BJ327" s="12"/>
      <c r="BK327" s="12" t="s">
        <v>6278</v>
      </c>
      <c r="BL327" s="12" t="s">
        <v>2292</v>
      </c>
      <c r="BM327" s="12" t="s">
        <v>2292</v>
      </c>
      <c r="BN327" s="12" t="s">
        <v>2292</v>
      </c>
      <c r="BO327" s="12" t="s">
        <v>2291</v>
      </c>
      <c r="BP327" s="12"/>
      <c r="BQ327" s="12"/>
      <c r="BR327" s="12"/>
      <c r="BS327" s="12"/>
      <c r="BT327" s="12">
        <v>35542364090</v>
      </c>
      <c r="BU327" s="12" t="s">
        <v>326</v>
      </c>
      <c r="BV327" s="12"/>
      <c r="BW327" s="12" t="s">
        <v>5735</v>
      </c>
      <c r="BX327" s="12"/>
      <c r="BY327" s="13" t="s">
        <v>313</v>
      </c>
      <c r="BZ327" s="13" t="s">
        <v>6173</v>
      </c>
      <c r="CA327" s="13" t="s">
        <v>6170</v>
      </c>
      <c r="CB327" s="13" t="s">
        <v>6200</v>
      </c>
      <c r="CC327" s="13"/>
      <c r="CD327" s="13" t="s">
        <v>6198</v>
      </c>
      <c r="CE327" s="13"/>
      <c r="CF327" s="13"/>
    </row>
    <row r="328" spans="1:84" ht="18.600000000000001" customHeight="1" x14ac:dyDescent="0.25">
      <c r="A328" s="60" t="s">
        <v>120</v>
      </c>
      <c r="B328" s="2" t="s">
        <v>315</v>
      </c>
      <c r="C328" s="3" t="s">
        <v>2542</v>
      </c>
      <c r="D328" s="12" t="s">
        <v>1280</v>
      </c>
      <c r="E328" s="12" t="s">
        <v>1279</v>
      </c>
      <c r="F328" s="12" t="s">
        <v>4083</v>
      </c>
      <c r="G328" s="25">
        <v>23309</v>
      </c>
      <c r="H328" s="25">
        <v>17065</v>
      </c>
      <c r="I328" s="25">
        <v>461</v>
      </c>
      <c r="J328" s="25">
        <v>4734</v>
      </c>
      <c r="K328" s="25">
        <v>116081</v>
      </c>
      <c r="L328" s="25">
        <v>59210</v>
      </c>
      <c r="M328" s="25">
        <v>175291</v>
      </c>
      <c r="N328" s="31">
        <v>0.66</v>
      </c>
      <c r="O328" s="25">
        <v>543</v>
      </c>
      <c r="P328" s="25">
        <v>0</v>
      </c>
      <c r="Q328" s="25">
        <v>717</v>
      </c>
      <c r="R328" s="25">
        <v>76</v>
      </c>
      <c r="S328" s="25">
        <v>27</v>
      </c>
      <c r="T328" s="25">
        <v>127</v>
      </c>
      <c r="U328" s="61">
        <v>100</v>
      </c>
      <c r="V328" s="58">
        <v>1.4E-3</v>
      </c>
      <c r="W328" s="33">
        <v>3.5000000000000001E-3</v>
      </c>
      <c r="X328" s="33">
        <v>6.9999999999999999E-4</v>
      </c>
      <c r="Y328" s="33">
        <v>4.7000000000000002E-3</v>
      </c>
      <c r="Z328" s="33">
        <v>0.02</v>
      </c>
      <c r="AA328" s="33">
        <v>4.0000000000000002E-4</v>
      </c>
      <c r="AB328" s="25">
        <v>1605</v>
      </c>
      <c r="AC328" s="25">
        <v>227</v>
      </c>
      <c r="AD328" s="25">
        <v>1331</v>
      </c>
      <c r="AE328" s="25">
        <v>23</v>
      </c>
      <c r="AF328" s="25">
        <v>21</v>
      </c>
      <c r="AG328" s="25">
        <v>2</v>
      </c>
      <c r="AH328" s="25">
        <v>1</v>
      </c>
      <c r="AI328" s="12">
        <v>3.66</v>
      </c>
      <c r="AJ328" s="25">
        <v>11076</v>
      </c>
      <c r="AK328" s="25">
        <v>2464</v>
      </c>
      <c r="AL328" s="33">
        <v>0.28610000000000002</v>
      </c>
      <c r="AM328" s="3" t="s">
        <v>2542</v>
      </c>
      <c r="AN328" s="12" t="s">
        <v>1279</v>
      </c>
      <c r="AO328" s="12" t="s">
        <v>1279</v>
      </c>
      <c r="AP328" s="12" t="str">
        <f>"430374277000520"</f>
        <v>430374277000520</v>
      </c>
      <c r="AQ328" s="12" t="s">
        <v>1280</v>
      </c>
      <c r="AR328" s="12" t="s">
        <v>1281</v>
      </c>
      <c r="AS328" s="12" t="s">
        <v>1282</v>
      </c>
      <c r="AT328" s="12"/>
      <c r="AU328" s="12" t="s">
        <v>324</v>
      </c>
      <c r="AV328" s="12"/>
      <c r="AW328" s="12"/>
      <c r="AX328" s="12">
        <v>0</v>
      </c>
      <c r="AY328" s="12">
        <v>920</v>
      </c>
      <c r="AZ328" s="12">
        <v>0</v>
      </c>
      <c r="BA328" s="12" t="s">
        <v>1283</v>
      </c>
      <c r="BB328" s="12"/>
      <c r="BC328" s="12" t="s">
        <v>6612</v>
      </c>
      <c r="BD328" s="12"/>
      <c r="BE328" s="12" t="s">
        <v>2291</v>
      </c>
      <c r="BF328" s="12"/>
      <c r="BG328" s="12"/>
      <c r="BH328" s="12"/>
      <c r="BI328" s="12"/>
      <c r="BJ328" s="12"/>
      <c r="BK328" s="12"/>
      <c r="BL328" s="12" t="s">
        <v>2292</v>
      </c>
      <c r="BM328" s="12" t="s">
        <v>2292</v>
      </c>
      <c r="BN328" s="12" t="s">
        <v>2292</v>
      </c>
      <c r="BO328" s="12" t="s">
        <v>2292</v>
      </c>
      <c r="BP328" s="12"/>
      <c r="BQ328" s="12"/>
      <c r="BR328" s="12"/>
      <c r="BS328" s="12"/>
      <c r="BT328" s="12" t="s">
        <v>1284</v>
      </c>
      <c r="BU328" s="12"/>
      <c r="BV328" s="12"/>
      <c r="BW328" s="12"/>
      <c r="BX328" s="12"/>
      <c r="BY328" s="13" t="s">
        <v>313</v>
      </c>
      <c r="BZ328" s="13" t="s">
        <v>6170</v>
      </c>
      <c r="CA328" s="13" t="s">
        <v>6170</v>
      </c>
      <c r="CB328" s="13" t="s">
        <v>312</v>
      </c>
      <c r="CC328" s="13"/>
      <c r="CD328" s="13" t="s">
        <v>6198</v>
      </c>
      <c r="CE328" s="13"/>
      <c r="CF328" s="13"/>
    </row>
    <row r="329" spans="1:84" ht="18.600000000000001" customHeight="1" x14ac:dyDescent="0.25">
      <c r="A329" s="60" t="s">
        <v>121</v>
      </c>
      <c r="B329" s="2" t="s">
        <v>4781</v>
      </c>
      <c r="C329" s="3" t="s">
        <v>4782</v>
      </c>
      <c r="D329" s="12" t="s">
        <v>4784</v>
      </c>
      <c r="E329" s="12" t="s">
        <v>4785</v>
      </c>
      <c r="F329" s="12" t="s">
        <v>4786</v>
      </c>
      <c r="G329" s="25">
        <v>1158592</v>
      </c>
      <c r="H329" s="25">
        <v>953079</v>
      </c>
      <c r="I329" s="25">
        <v>42022</v>
      </c>
      <c r="J329" s="25">
        <v>61739</v>
      </c>
      <c r="K329" s="25">
        <v>3596229</v>
      </c>
      <c r="L329" s="25">
        <v>634037</v>
      </c>
      <c r="M329" s="25">
        <v>4230266</v>
      </c>
      <c r="N329" s="31">
        <v>0.85</v>
      </c>
      <c r="O329" s="25">
        <v>361965</v>
      </c>
      <c r="P329" s="25">
        <v>226304</v>
      </c>
      <c r="Q329" s="25">
        <v>58114</v>
      </c>
      <c r="R329" s="25">
        <v>3976</v>
      </c>
      <c r="S329" s="25">
        <v>3546</v>
      </c>
      <c r="T329" s="25">
        <v>27165</v>
      </c>
      <c r="U329" s="61">
        <v>8935</v>
      </c>
      <c r="V329" s="58">
        <v>7.1999999999999998E-3</v>
      </c>
      <c r="W329" s="33">
        <v>6.8999999999999999E-3</v>
      </c>
      <c r="X329" s="33">
        <v>6.3E-3</v>
      </c>
      <c r="Y329" s="33">
        <v>1.2E-2</v>
      </c>
      <c r="Z329" s="33">
        <v>8.8000000000000005E-3</v>
      </c>
      <c r="AA329" s="33">
        <v>1.7899999999999999E-2</v>
      </c>
      <c r="AB329" s="25">
        <v>562</v>
      </c>
      <c r="AC329" s="25">
        <v>404</v>
      </c>
      <c r="AD329" s="25">
        <v>48</v>
      </c>
      <c r="AE329" s="25">
        <v>24</v>
      </c>
      <c r="AF329" s="25">
        <v>68</v>
      </c>
      <c r="AG329" s="25">
        <v>16</v>
      </c>
      <c r="AH329" s="25">
        <v>2</v>
      </c>
      <c r="AI329" s="12">
        <v>1.28</v>
      </c>
      <c r="AJ329" s="25">
        <v>293251</v>
      </c>
      <c r="AK329" s="25">
        <v>17034</v>
      </c>
      <c r="AL329" s="33">
        <v>6.1699999999999998E-2</v>
      </c>
      <c r="AM329" s="3" t="s">
        <v>4782</v>
      </c>
      <c r="AN329" s="12" t="s">
        <v>4785</v>
      </c>
      <c r="AO329" s="12" t="s">
        <v>4785</v>
      </c>
      <c r="AP329" s="12" t="str">
        <f>"138508202860897"</f>
        <v>138508202860897</v>
      </c>
      <c r="AQ329" s="12" t="s">
        <v>4784</v>
      </c>
      <c r="AR329" s="12" t="s">
        <v>5228</v>
      </c>
      <c r="AS329" s="12" t="s">
        <v>4803</v>
      </c>
      <c r="AT329" s="12" t="s">
        <v>4804</v>
      </c>
      <c r="AU329" s="12" t="s">
        <v>309</v>
      </c>
      <c r="AV329" s="12"/>
      <c r="AW329" s="12"/>
      <c r="AX329" s="12">
        <v>0</v>
      </c>
      <c r="AY329" s="12">
        <v>28331</v>
      </c>
      <c r="AZ329" s="12">
        <v>0</v>
      </c>
      <c r="BA329" s="12" t="s">
        <v>4805</v>
      </c>
      <c r="BB329" s="12"/>
      <c r="BC329" s="12" t="s">
        <v>6279</v>
      </c>
      <c r="BD329" s="12"/>
      <c r="BE329" s="12" t="s">
        <v>2291</v>
      </c>
      <c r="BF329" s="12"/>
      <c r="BG329" s="12"/>
      <c r="BH329" s="12"/>
      <c r="BI329" s="12"/>
      <c r="BJ329" s="12"/>
      <c r="BK329" s="12"/>
      <c r="BL329" s="12" t="s">
        <v>2292</v>
      </c>
      <c r="BM329" s="12" t="s">
        <v>2292</v>
      </c>
      <c r="BN329" s="12" t="s">
        <v>2292</v>
      </c>
      <c r="BO329" s="12" t="s">
        <v>2291</v>
      </c>
      <c r="BP329" s="12"/>
      <c r="BQ329" s="12"/>
      <c r="BR329" s="12"/>
      <c r="BS329" s="12"/>
      <c r="BT329" s="12"/>
      <c r="BU329" s="12"/>
      <c r="BV329" s="12"/>
      <c r="BW329" s="12"/>
      <c r="BX329" s="12"/>
      <c r="BY329" s="13" t="s">
        <v>313</v>
      </c>
      <c r="BZ329" s="13" t="s">
        <v>6170</v>
      </c>
      <c r="CA329" s="13" t="s">
        <v>6170</v>
      </c>
      <c r="CB329" s="13" t="s">
        <v>6200</v>
      </c>
      <c r="CC329" s="13"/>
      <c r="CD329" s="13" t="s">
        <v>6204</v>
      </c>
      <c r="CE329" s="13"/>
      <c r="CF329" s="13"/>
    </row>
    <row r="330" spans="1:84" ht="18.600000000000001" customHeight="1" x14ac:dyDescent="0.25">
      <c r="A330" s="60" t="s">
        <v>121</v>
      </c>
      <c r="B330" s="2" t="s">
        <v>5641</v>
      </c>
      <c r="C330" s="3" t="s">
        <v>2976</v>
      </c>
      <c r="D330" s="12" t="s">
        <v>1285</v>
      </c>
      <c r="E330" s="12" t="s">
        <v>1286</v>
      </c>
      <c r="F330" s="12" t="s">
        <v>4352</v>
      </c>
      <c r="G330" s="25">
        <v>4030905</v>
      </c>
      <c r="H330" s="25">
        <v>3259839</v>
      </c>
      <c r="I330" s="25">
        <v>285144</v>
      </c>
      <c r="J330" s="25">
        <v>271532</v>
      </c>
      <c r="K330" s="25">
        <v>34772266</v>
      </c>
      <c r="L330" s="25">
        <v>4656969</v>
      </c>
      <c r="M330" s="25">
        <v>39429235</v>
      </c>
      <c r="N330" s="31">
        <v>0.88</v>
      </c>
      <c r="O330" s="25">
        <v>3741935</v>
      </c>
      <c r="P330" s="25">
        <v>1346295</v>
      </c>
      <c r="Q330" s="25">
        <v>105694</v>
      </c>
      <c r="R330" s="25">
        <v>16258</v>
      </c>
      <c r="S330" s="25">
        <v>28412</v>
      </c>
      <c r="T330" s="25">
        <v>27996</v>
      </c>
      <c r="U330" s="61">
        <v>35845</v>
      </c>
      <c r="V330" s="58">
        <v>5.8999999999999999E-3</v>
      </c>
      <c r="W330" s="33">
        <v>5.7000000000000002E-3</v>
      </c>
      <c r="X330" s="33">
        <v>7.1000000000000004E-3</v>
      </c>
      <c r="Y330" s="33">
        <v>1.4800000000000001E-2</v>
      </c>
      <c r="Z330" s="33">
        <v>6.8999999999999999E-3</v>
      </c>
      <c r="AA330" s="33">
        <v>1.6000000000000001E-3</v>
      </c>
      <c r="AB330" s="25">
        <v>1125</v>
      </c>
      <c r="AC330" s="25">
        <v>422</v>
      </c>
      <c r="AD330" s="25">
        <v>211</v>
      </c>
      <c r="AE330" s="25">
        <v>1</v>
      </c>
      <c r="AF330" s="25">
        <v>396</v>
      </c>
      <c r="AG330" s="25">
        <v>92</v>
      </c>
      <c r="AH330" s="25">
        <v>3</v>
      </c>
      <c r="AI330" s="12">
        <v>2.56</v>
      </c>
      <c r="AJ330" s="25">
        <v>740779</v>
      </c>
      <c r="AK330" s="25">
        <v>327087</v>
      </c>
      <c r="AL330" s="33">
        <v>0.79069999999999996</v>
      </c>
      <c r="AM330" s="3" t="s">
        <v>2976</v>
      </c>
      <c r="AN330" s="12" t="s">
        <v>1286</v>
      </c>
      <c r="AO330" s="12" t="s">
        <v>1286</v>
      </c>
      <c r="AP330" s="12" t="str">
        <f>"105151752909840"</f>
        <v>105151752909840</v>
      </c>
      <c r="AQ330" s="12" t="s">
        <v>1285</v>
      </c>
      <c r="AR330" s="12" t="s">
        <v>1287</v>
      </c>
      <c r="AS330" s="12" t="s">
        <v>3681</v>
      </c>
      <c r="AT330" s="12" t="s">
        <v>6012</v>
      </c>
      <c r="AU330" s="12" t="s">
        <v>309</v>
      </c>
      <c r="AV330" s="12"/>
      <c r="AW330" s="12"/>
      <c r="AX330" s="12">
        <v>0</v>
      </c>
      <c r="AY330" s="12">
        <v>38961</v>
      </c>
      <c r="AZ330" s="12">
        <v>0</v>
      </c>
      <c r="BA330" s="12" t="s">
        <v>1288</v>
      </c>
      <c r="BB330" s="12"/>
      <c r="BC330" s="12" t="s">
        <v>7217</v>
      </c>
      <c r="BD330" s="12"/>
      <c r="BE330" s="12" t="s">
        <v>2291</v>
      </c>
      <c r="BF330" s="12"/>
      <c r="BG330" s="12"/>
      <c r="BH330" s="12"/>
      <c r="BI330" s="12"/>
      <c r="BJ330" s="12"/>
      <c r="BK330" s="12"/>
      <c r="BL330" s="12" t="s">
        <v>2292</v>
      </c>
      <c r="BM330" s="12" t="s">
        <v>2292</v>
      </c>
      <c r="BN330" s="12" t="s">
        <v>2292</v>
      </c>
      <c r="BO330" s="12" t="s">
        <v>2291</v>
      </c>
      <c r="BP330" s="12"/>
      <c r="BQ330" s="12"/>
      <c r="BR330" s="12"/>
      <c r="BS330" s="12"/>
      <c r="BT330" s="12"/>
      <c r="BU330" s="12"/>
      <c r="BV330" s="12"/>
      <c r="BW330" s="12"/>
      <c r="BX330" s="12"/>
      <c r="BY330" s="13" t="s">
        <v>313</v>
      </c>
      <c r="BZ330" s="13" t="s">
        <v>6170</v>
      </c>
      <c r="CA330" s="13" t="s">
        <v>6170</v>
      </c>
      <c r="CB330" s="13" t="s">
        <v>6201</v>
      </c>
      <c r="CC330" s="13"/>
      <c r="CD330" s="13" t="s">
        <v>6198</v>
      </c>
      <c r="CE330" s="13"/>
      <c r="CF330" s="13"/>
    </row>
    <row r="331" spans="1:84" ht="18.600000000000001" customHeight="1" x14ac:dyDescent="0.25">
      <c r="A331" s="60" t="s">
        <v>121</v>
      </c>
      <c r="B331" s="2" t="s">
        <v>315</v>
      </c>
      <c r="C331" s="3" t="s">
        <v>6182</v>
      </c>
      <c r="D331" s="12" t="s">
        <v>5755</v>
      </c>
      <c r="E331" s="12" t="s">
        <v>5754</v>
      </c>
      <c r="F331" s="12" t="s">
        <v>6086</v>
      </c>
      <c r="G331" s="25">
        <v>67201</v>
      </c>
      <c r="H331" s="25">
        <v>36725</v>
      </c>
      <c r="I331" s="25">
        <v>12038</v>
      </c>
      <c r="J331" s="25">
        <v>11649</v>
      </c>
      <c r="K331" s="25">
        <v>325096</v>
      </c>
      <c r="L331" s="25">
        <v>1417494</v>
      </c>
      <c r="M331" s="25">
        <v>1742590</v>
      </c>
      <c r="N331" s="31">
        <v>0.19</v>
      </c>
      <c r="O331" s="25">
        <v>17963</v>
      </c>
      <c r="P331" s="25">
        <v>191414</v>
      </c>
      <c r="Q331" s="25">
        <v>3225</v>
      </c>
      <c r="R331" s="25">
        <v>278</v>
      </c>
      <c r="S331" s="25">
        <v>699</v>
      </c>
      <c r="T331" s="25">
        <v>559</v>
      </c>
      <c r="U331" s="61">
        <v>2028</v>
      </c>
      <c r="V331" s="58">
        <v>1.3599999999999999E-2</v>
      </c>
      <c r="W331" s="33">
        <v>6.4000000000000003E-3</v>
      </c>
      <c r="X331" s="33">
        <v>4.1999999999999997E-3</v>
      </c>
      <c r="Y331" s="12" t="s">
        <v>3926</v>
      </c>
      <c r="Z331" s="33">
        <v>2.9600000000000001E-2</v>
      </c>
      <c r="AA331" s="33">
        <v>6.1000000000000004E-3</v>
      </c>
      <c r="AB331" s="25">
        <v>222</v>
      </c>
      <c r="AC331" s="25">
        <v>134</v>
      </c>
      <c r="AD331" s="25">
        <v>8</v>
      </c>
      <c r="AE331" s="25">
        <v>0</v>
      </c>
      <c r="AF331" s="25">
        <v>71</v>
      </c>
      <c r="AG331" s="25">
        <v>7</v>
      </c>
      <c r="AH331" s="25">
        <v>2</v>
      </c>
      <c r="AI331" s="12">
        <v>0.51</v>
      </c>
      <c r="AJ331" s="25">
        <v>24872</v>
      </c>
      <c r="AK331" s="25">
        <v>0</v>
      </c>
      <c r="AL331" s="31">
        <v>0</v>
      </c>
      <c r="AM331" s="3" t="s">
        <v>6182</v>
      </c>
      <c r="AN331" s="12" t="s">
        <v>5754</v>
      </c>
      <c r="AO331" s="12" t="s">
        <v>5754</v>
      </c>
      <c r="AP331" s="12" t="str">
        <f>"1578931835519981"</f>
        <v>1578931835519981</v>
      </c>
      <c r="AQ331" s="12" t="s">
        <v>5755</v>
      </c>
      <c r="AR331" s="12" t="s">
        <v>5756</v>
      </c>
      <c r="AS331" s="12" t="s">
        <v>5757</v>
      </c>
      <c r="AT331" s="12"/>
      <c r="AU331" s="12" t="s">
        <v>4806</v>
      </c>
      <c r="AV331" s="12" t="s">
        <v>5758</v>
      </c>
      <c r="AW331" s="12"/>
      <c r="AX331" s="12">
        <v>1881</v>
      </c>
      <c r="AY331" s="12">
        <v>4105</v>
      </c>
      <c r="AZ331" s="12">
        <v>1881</v>
      </c>
      <c r="BA331" s="12" t="s">
        <v>5759</v>
      </c>
      <c r="BB331" s="12" t="s">
        <v>6361</v>
      </c>
      <c r="BC331" s="12" t="s">
        <v>6362</v>
      </c>
      <c r="BD331" s="12"/>
      <c r="BE331" s="12" t="s">
        <v>2291</v>
      </c>
      <c r="BF331" s="12"/>
      <c r="BG331" s="12"/>
      <c r="BH331" s="12"/>
      <c r="BI331" s="12" t="s">
        <v>5757</v>
      </c>
      <c r="BJ331" s="12" t="s">
        <v>5760</v>
      </c>
      <c r="BK331" s="12"/>
      <c r="BL331" s="12" t="s">
        <v>2292</v>
      </c>
      <c r="BM331" s="12" t="s">
        <v>2292</v>
      </c>
      <c r="BN331" s="12" t="s">
        <v>2292</v>
      </c>
      <c r="BO331" s="12" t="s">
        <v>2291</v>
      </c>
      <c r="BP331" s="12" t="s">
        <v>5761</v>
      </c>
      <c r="BQ331" s="12"/>
      <c r="BR331" s="12"/>
      <c r="BS331" s="12"/>
      <c r="BT331" s="12" t="s">
        <v>5762</v>
      </c>
      <c r="BU331" s="12" t="s">
        <v>326</v>
      </c>
      <c r="BV331" s="12"/>
      <c r="BW331" s="12" t="s">
        <v>5763</v>
      </c>
      <c r="BX331" s="12"/>
      <c r="BY331" s="13" t="s">
        <v>313</v>
      </c>
      <c r="BZ331" s="13" t="s">
        <v>6174</v>
      </c>
      <c r="CA331" s="13" t="s">
        <v>6170</v>
      </c>
      <c r="CB331" s="13" t="s">
        <v>6201</v>
      </c>
      <c r="CC331" s="13"/>
      <c r="CD331" s="13" t="s">
        <v>6195</v>
      </c>
      <c r="CE331" s="13"/>
      <c r="CF331" s="13"/>
    </row>
    <row r="332" spans="1:84" ht="18.600000000000001" customHeight="1" x14ac:dyDescent="0.25">
      <c r="A332" s="60" t="s">
        <v>121</v>
      </c>
      <c r="B332" s="2" t="s">
        <v>335</v>
      </c>
      <c r="C332" s="3" t="s">
        <v>2337</v>
      </c>
      <c r="D332" s="12" t="s">
        <v>1290</v>
      </c>
      <c r="E332" s="12" t="s">
        <v>1289</v>
      </c>
      <c r="F332" s="12" t="s">
        <v>3960</v>
      </c>
      <c r="G332" s="25">
        <v>62292</v>
      </c>
      <c r="H332" s="25">
        <v>48235</v>
      </c>
      <c r="I332" s="25">
        <v>4329</v>
      </c>
      <c r="J332" s="25">
        <v>7171</v>
      </c>
      <c r="K332" s="25">
        <v>646192</v>
      </c>
      <c r="L332" s="25">
        <v>371181</v>
      </c>
      <c r="M332" s="25">
        <v>1017373</v>
      </c>
      <c r="N332" s="31">
        <v>0.64</v>
      </c>
      <c r="O332" s="25">
        <v>36455</v>
      </c>
      <c r="P332" s="25">
        <v>36848</v>
      </c>
      <c r="Q332" s="25">
        <v>1518</v>
      </c>
      <c r="R332" s="25">
        <v>282</v>
      </c>
      <c r="S332" s="25">
        <v>164</v>
      </c>
      <c r="T332" s="25">
        <v>358</v>
      </c>
      <c r="U332" s="61">
        <v>235</v>
      </c>
      <c r="V332" s="58">
        <v>1E-3</v>
      </c>
      <c r="W332" s="33">
        <v>1E-3</v>
      </c>
      <c r="X332" s="33">
        <v>4.0000000000000002E-4</v>
      </c>
      <c r="Y332" s="12" t="s">
        <v>3926</v>
      </c>
      <c r="Z332" s="33">
        <v>1.4E-3</v>
      </c>
      <c r="AA332" s="33">
        <v>5.0000000000000001E-4</v>
      </c>
      <c r="AB332" s="25">
        <v>852</v>
      </c>
      <c r="AC332" s="25">
        <v>511</v>
      </c>
      <c r="AD332" s="25">
        <v>33</v>
      </c>
      <c r="AE332" s="25">
        <v>0</v>
      </c>
      <c r="AF332" s="25">
        <v>275</v>
      </c>
      <c r="AG332" s="25">
        <v>25</v>
      </c>
      <c r="AH332" s="25">
        <v>8</v>
      </c>
      <c r="AI332" s="12">
        <v>1.94</v>
      </c>
      <c r="AJ332" s="25">
        <v>73271</v>
      </c>
      <c r="AK332" s="25">
        <v>7736</v>
      </c>
      <c r="AL332" s="33">
        <v>0.11799999999999999</v>
      </c>
      <c r="AM332" s="3" t="s">
        <v>2337</v>
      </c>
      <c r="AN332" s="12" t="s">
        <v>1289</v>
      </c>
      <c r="AO332" s="12" t="s">
        <v>1289</v>
      </c>
      <c r="AP332" s="12" t="str">
        <f>"331636230253548"</f>
        <v>331636230253548</v>
      </c>
      <c r="AQ332" s="12" t="s">
        <v>1290</v>
      </c>
      <c r="AR332" s="12" t="s">
        <v>1291</v>
      </c>
      <c r="AS332" s="12" t="s">
        <v>1292</v>
      </c>
      <c r="AT332" s="12"/>
      <c r="AU332" s="12" t="s">
        <v>324</v>
      </c>
      <c r="AV332" s="12" t="s">
        <v>5731</v>
      </c>
      <c r="AW332" s="12"/>
      <c r="AX332" s="12">
        <v>1780</v>
      </c>
      <c r="AY332" s="12">
        <v>1582</v>
      </c>
      <c r="AZ332" s="12">
        <v>1780</v>
      </c>
      <c r="BA332" s="12" t="s">
        <v>1293</v>
      </c>
      <c r="BB332" s="12" t="s">
        <v>6318</v>
      </c>
      <c r="BC332" s="12" t="s">
        <v>6319</v>
      </c>
      <c r="BD332" s="12"/>
      <c r="BE332" s="12" t="s">
        <v>2291</v>
      </c>
      <c r="BF332" s="12"/>
      <c r="BG332" s="12"/>
      <c r="BH332" s="12"/>
      <c r="BI332" s="12" t="s">
        <v>2338</v>
      </c>
      <c r="BJ332" s="12" t="s">
        <v>2339</v>
      </c>
      <c r="BK332" s="12"/>
      <c r="BL332" s="12" t="s">
        <v>2292</v>
      </c>
      <c r="BM332" s="12" t="s">
        <v>2292</v>
      </c>
      <c r="BN332" s="12" t="s">
        <v>2292</v>
      </c>
      <c r="BO332" s="12" t="s">
        <v>2291</v>
      </c>
      <c r="BP332" s="12"/>
      <c r="BQ332" s="12"/>
      <c r="BR332" s="12"/>
      <c r="BS332" s="12"/>
      <c r="BT332" s="12" t="s">
        <v>2340</v>
      </c>
      <c r="BU332" s="12" t="s">
        <v>326</v>
      </c>
      <c r="BV332" s="12"/>
      <c r="BW332" s="12" t="s">
        <v>3397</v>
      </c>
      <c r="BX332" s="12"/>
      <c r="BY332" s="13" t="s">
        <v>313</v>
      </c>
      <c r="BZ332" s="13" t="s">
        <v>6172</v>
      </c>
      <c r="CA332" s="13" t="s">
        <v>6170</v>
      </c>
      <c r="CB332" s="13" t="s">
        <v>6201</v>
      </c>
      <c r="CC332" s="13"/>
      <c r="CD332" s="13" t="s">
        <v>6198</v>
      </c>
      <c r="CE332" s="13" t="s">
        <v>6175</v>
      </c>
      <c r="CF332" s="13"/>
    </row>
    <row r="333" spans="1:84" ht="18.600000000000001" customHeight="1" x14ac:dyDescent="0.25">
      <c r="A333" s="60" t="s">
        <v>122</v>
      </c>
      <c r="B333" s="2" t="s">
        <v>802</v>
      </c>
      <c r="C333" s="3" t="s">
        <v>2356</v>
      </c>
      <c r="D333" s="12" t="s">
        <v>1295</v>
      </c>
      <c r="E333" s="12" t="s">
        <v>1294</v>
      </c>
      <c r="F333" s="12" t="s">
        <v>3969</v>
      </c>
      <c r="G333" s="25">
        <v>209639</v>
      </c>
      <c r="H333" s="25">
        <v>165128</v>
      </c>
      <c r="I333" s="25">
        <v>6638</v>
      </c>
      <c r="J333" s="25">
        <v>14413</v>
      </c>
      <c r="K333" s="25">
        <v>205449</v>
      </c>
      <c r="L333" s="25">
        <v>236327</v>
      </c>
      <c r="M333" s="25">
        <v>441776</v>
      </c>
      <c r="N333" s="31">
        <v>0.47</v>
      </c>
      <c r="O333" s="25">
        <v>3101</v>
      </c>
      <c r="P333" s="25">
        <v>6959</v>
      </c>
      <c r="Q333" s="25">
        <v>20628</v>
      </c>
      <c r="R333" s="25">
        <v>830</v>
      </c>
      <c r="S333" s="25">
        <v>263</v>
      </c>
      <c r="T333" s="25">
        <v>1601</v>
      </c>
      <c r="U333" s="61">
        <v>138</v>
      </c>
      <c r="V333" s="58">
        <v>1.01E-2</v>
      </c>
      <c r="W333" s="33">
        <v>0.01</v>
      </c>
      <c r="X333" s="12" t="s">
        <v>3926</v>
      </c>
      <c r="Y333" s="33">
        <v>3.3E-3</v>
      </c>
      <c r="Z333" s="33">
        <v>1.14E-2</v>
      </c>
      <c r="AA333" s="12" t="s">
        <v>3926</v>
      </c>
      <c r="AB333" s="25">
        <v>387</v>
      </c>
      <c r="AC333" s="25">
        <v>354</v>
      </c>
      <c r="AD333" s="25">
        <v>0</v>
      </c>
      <c r="AE333" s="25">
        <v>1</v>
      </c>
      <c r="AF333" s="25">
        <v>31</v>
      </c>
      <c r="AG333" s="25">
        <v>1</v>
      </c>
      <c r="AH333" s="25">
        <v>0</v>
      </c>
      <c r="AI333" s="12">
        <v>0.88</v>
      </c>
      <c r="AJ333" s="25">
        <v>58551</v>
      </c>
      <c r="AK333" s="25">
        <v>9793</v>
      </c>
      <c r="AL333" s="33">
        <v>0.20080000000000001</v>
      </c>
      <c r="AM333" s="3" t="s">
        <v>2356</v>
      </c>
      <c r="AN333" s="12" t="s">
        <v>1294</v>
      </c>
      <c r="AO333" s="12" t="s">
        <v>1294</v>
      </c>
      <c r="AP333" s="12" t="str">
        <f>"1586031578327143"</f>
        <v>1586031578327143</v>
      </c>
      <c r="AQ333" s="12" t="s">
        <v>1295</v>
      </c>
      <c r="AR333" s="12" t="s">
        <v>1296</v>
      </c>
      <c r="AS333" s="12" t="s">
        <v>2357</v>
      </c>
      <c r="AT333" s="12"/>
      <c r="AU333" s="12" t="s">
        <v>660</v>
      </c>
      <c r="AV333" s="12"/>
      <c r="AW333" s="12"/>
      <c r="AX333" s="12">
        <v>0</v>
      </c>
      <c r="AY333" s="12">
        <v>4010</v>
      </c>
      <c r="AZ333" s="12">
        <v>0</v>
      </c>
      <c r="BA333" s="12" t="s">
        <v>1297</v>
      </c>
      <c r="BB333" s="12"/>
      <c r="BC333" s="12" t="s">
        <v>6339</v>
      </c>
      <c r="BD333" s="12"/>
      <c r="BE333" s="12" t="s">
        <v>2291</v>
      </c>
      <c r="BF333" s="12"/>
      <c r="BG333" s="12"/>
      <c r="BH333" s="12"/>
      <c r="BI333" s="12"/>
      <c r="BJ333" s="12"/>
      <c r="BK333" s="12"/>
      <c r="BL333" s="12" t="s">
        <v>2292</v>
      </c>
      <c r="BM333" s="12" t="s">
        <v>2292</v>
      </c>
      <c r="BN333" s="12" t="s">
        <v>2292</v>
      </c>
      <c r="BO333" s="12" t="s">
        <v>2292</v>
      </c>
      <c r="BP333" s="12"/>
      <c r="BQ333" s="12"/>
      <c r="BR333" s="12"/>
      <c r="BS333" s="12"/>
      <c r="BT333" s="12"/>
      <c r="BU333" s="12"/>
      <c r="BV333" s="12"/>
      <c r="BW333" s="12"/>
      <c r="BX333" s="12"/>
      <c r="BY333" s="13" t="s">
        <v>313</v>
      </c>
      <c r="BZ333" s="13" t="s">
        <v>312</v>
      </c>
      <c r="CA333" s="13"/>
      <c r="CB333" s="13"/>
      <c r="CC333" s="13"/>
      <c r="CD333" s="13"/>
      <c r="CE333" s="13"/>
      <c r="CF333" s="13"/>
    </row>
    <row r="334" spans="1:84" ht="18.600000000000001" customHeight="1" x14ac:dyDescent="0.25">
      <c r="A334" s="60" t="s">
        <v>122</v>
      </c>
      <c r="B334" s="2" t="s">
        <v>1300</v>
      </c>
      <c r="C334" s="3" t="s">
        <v>5199</v>
      </c>
      <c r="D334" s="12" t="s">
        <v>1298</v>
      </c>
      <c r="E334" s="12" t="s">
        <v>123</v>
      </c>
      <c r="F334" s="12" t="s">
        <v>4227</v>
      </c>
      <c r="G334" s="25">
        <v>105221</v>
      </c>
      <c r="H334" s="25">
        <v>80090</v>
      </c>
      <c r="I334" s="25">
        <v>5739</v>
      </c>
      <c r="J334" s="25">
        <v>8472</v>
      </c>
      <c r="K334" s="25">
        <v>566488</v>
      </c>
      <c r="L334" s="25">
        <v>106959</v>
      </c>
      <c r="M334" s="25">
        <v>673447</v>
      </c>
      <c r="N334" s="31">
        <v>0.84</v>
      </c>
      <c r="O334" s="25">
        <v>19520</v>
      </c>
      <c r="P334" s="25">
        <v>0</v>
      </c>
      <c r="Q334" s="25">
        <v>5769</v>
      </c>
      <c r="R334" s="25">
        <v>378</v>
      </c>
      <c r="S334" s="25">
        <v>1844</v>
      </c>
      <c r="T334" s="25">
        <v>1003</v>
      </c>
      <c r="U334" s="61">
        <v>1925</v>
      </c>
      <c r="V334" s="58">
        <v>4.0000000000000001E-3</v>
      </c>
      <c r="W334" s="33">
        <v>3.3999999999999998E-3</v>
      </c>
      <c r="X334" s="33">
        <v>4.4000000000000003E-3</v>
      </c>
      <c r="Y334" s="33">
        <v>8.3999999999999995E-3</v>
      </c>
      <c r="Z334" s="33">
        <v>5.0000000000000001E-3</v>
      </c>
      <c r="AA334" s="33">
        <v>4.7999999999999996E-3</v>
      </c>
      <c r="AB334" s="25">
        <v>645</v>
      </c>
      <c r="AC334" s="25">
        <v>417</v>
      </c>
      <c r="AD334" s="25">
        <v>59</v>
      </c>
      <c r="AE334" s="25">
        <v>31</v>
      </c>
      <c r="AF334" s="25">
        <v>119</v>
      </c>
      <c r="AG334" s="25">
        <v>11</v>
      </c>
      <c r="AH334" s="25">
        <v>8</v>
      </c>
      <c r="AI334" s="12">
        <v>1.47</v>
      </c>
      <c r="AJ334" s="25">
        <v>46128</v>
      </c>
      <c r="AK334" s="25">
        <v>11256</v>
      </c>
      <c r="AL334" s="33">
        <v>0.32279999999999998</v>
      </c>
      <c r="AM334" s="3" t="s">
        <v>5199</v>
      </c>
      <c r="AN334" s="12" t="s">
        <v>123</v>
      </c>
      <c r="AO334" s="12" t="s">
        <v>123</v>
      </c>
      <c r="AP334" s="12" t="str">
        <f>"238067622916310"</f>
        <v>238067622916310</v>
      </c>
      <c r="AQ334" s="12" t="s">
        <v>1298</v>
      </c>
      <c r="AR334" s="12" t="s">
        <v>1299</v>
      </c>
      <c r="AS334" s="12" t="s">
        <v>2798</v>
      </c>
      <c r="AT334" s="12"/>
      <c r="AU334" s="12" t="s">
        <v>319</v>
      </c>
      <c r="AV334" s="12" t="s">
        <v>5773</v>
      </c>
      <c r="AW334" s="12"/>
      <c r="AX334" s="12">
        <v>0</v>
      </c>
      <c r="AY334" s="12">
        <v>1214</v>
      </c>
      <c r="AZ334" s="12">
        <v>0</v>
      </c>
      <c r="BA334" s="12" t="s">
        <v>5250</v>
      </c>
      <c r="BB334" s="12" t="s">
        <v>6419</v>
      </c>
      <c r="BC334" s="12" t="s">
        <v>6420</v>
      </c>
      <c r="BD334" s="12"/>
      <c r="BE334" s="12" t="s">
        <v>2291</v>
      </c>
      <c r="BF334" s="12"/>
      <c r="BG334" s="12"/>
      <c r="BH334" s="12"/>
      <c r="BI334" s="12"/>
      <c r="BJ334" s="12"/>
      <c r="BK334" s="12"/>
      <c r="BL334" s="12" t="s">
        <v>2292</v>
      </c>
      <c r="BM334" s="12" t="s">
        <v>2292</v>
      </c>
      <c r="BN334" s="12" t="s">
        <v>2292</v>
      </c>
      <c r="BO334" s="12" t="s">
        <v>2291</v>
      </c>
      <c r="BP334" s="12"/>
      <c r="BQ334" s="12"/>
      <c r="BR334" s="12" t="s">
        <v>5774</v>
      </c>
      <c r="BS334" s="12"/>
      <c r="BT334" s="12" t="s">
        <v>5564</v>
      </c>
      <c r="BU334" s="12" t="s">
        <v>326</v>
      </c>
      <c r="BV334" s="12"/>
      <c r="BW334" s="12" t="s">
        <v>5775</v>
      </c>
      <c r="BX334" s="12"/>
      <c r="BY334" s="13" t="s">
        <v>313</v>
      </c>
      <c r="BZ334" s="13" t="s">
        <v>6171</v>
      </c>
      <c r="CA334" s="13" t="s">
        <v>6170</v>
      </c>
      <c r="CB334" s="13" t="s">
        <v>6197</v>
      </c>
      <c r="CC334" s="13"/>
      <c r="CD334" s="13" t="s">
        <v>6198</v>
      </c>
      <c r="CE334" s="13"/>
      <c r="CF334" s="13"/>
    </row>
    <row r="335" spans="1:84" ht="18.600000000000001" customHeight="1" x14ac:dyDescent="0.25">
      <c r="A335" s="60" t="s">
        <v>122</v>
      </c>
      <c r="B335" s="2" t="s">
        <v>315</v>
      </c>
      <c r="C335" s="4" t="s">
        <v>3876</v>
      </c>
      <c r="D335" s="12" t="s">
        <v>3967</v>
      </c>
      <c r="E335" s="12" t="s">
        <v>3967</v>
      </c>
      <c r="F335" s="12" t="s">
        <v>3968</v>
      </c>
      <c r="G335" s="25">
        <v>3415</v>
      </c>
      <c r="H335" s="25">
        <v>2172</v>
      </c>
      <c r="I335" s="25">
        <v>206</v>
      </c>
      <c r="J335" s="25">
        <v>865</v>
      </c>
      <c r="K335" s="25">
        <v>1012</v>
      </c>
      <c r="L335" s="25">
        <v>240</v>
      </c>
      <c r="M335" s="25">
        <v>1252</v>
      </c>
      <c r="N335" s="31">
        <v>0.81</v>
      </c>
      <c r="O335" s="25">
        <v>1170</v>
      </c>
      <c r="P335" s="25">
        <v>0</v>
      </c>
      <c r="Q335" s="25">
        <v>109</v>
      </c>
      <c r="R335" s="25">
        <v>21</v>
      </c>
      <c r="S335" s="25">
        <v>14</v>
      </c>
      <c r="T335" s="25">
        <v>27</v>
      </c>
      <c r="U335" s="61">
        <v>1</v>
      </c>
      <c r="V335" s="58">
        <v>8.0000000000000004E-4</v>
      </c>
      <c r="W335" s="33">
        <v>5.9999999999999995E-4</v>
      </c>
      <c r="X335" s="33">
        <v>2.9999999999999997E-4</v>
      </c>
      <c r="Y335" s="33">
        <v>5.9999999999999995E-4</v>
      </c>
      <c r="Z335" s="33">
        <v>1E-3</v>
      </c>
      <c r="AA335" s="33">
        <v>4.0000000000000002E-4</v>
      </c>
      <c r="AB335" s="25">
        <v>450</v>
      </c>
      <c r="AC335" s="25">
        <v>330</v>
      </c>
      <c r="AD335" s="25">
        <v>94</v>
      </c>
      <c r="AE335" s="25">
        <v>7</v>
      </c>
      <c r="AF335" s="25">
        <v>4</v>
      </c>
      <c r="AG335" s="25">
        <v>7</v>
      </c>
      <c r="AH335" s="25">
        <v>8</v>
      </c>
      <c r="AI335" s="12">
        <v>1.03</v>
      </c>
      <c r="AJ335" s="25">
        <v>20046</v>
      </c>
      <c r="AK335" s="25">
        <v>12024</v>
      </c>
      <c r="AL335" s="33">
        <v>1.4988999999999999</v>
      </c>
      <c r="AM335" s="4" t="s">
        <v>3876</v>
      </c>
      <c r="AN335" s="12" t="s">
        <v>3967</v>
      </c>
      <c r="AO335" s="12" t="s">
        <v>3967</v>
      </c>
      <c r="AP335" s="12" t="str">
        <f>"102414209814612"</f>
        <v>102414209814612</v>
      </c>
      <c r="AQ335" s="12" t="s">
        <v>3967</v>
      </c>
      <c r="AR335" s="12" t="s">
        <v>4509</v>
      </c>
      <c r="AS335" s="12" t="s">
        <v>4510</v>
      </c>
      <c r="AT335" s="12"/>
      <c r="AU335" s="12" t="s">
        <v>1111</v>
      </c>
      <c r="AV335" s="12"/>
      <c r="AW335" s="12"/>
      <c r="AX335" s="12">
        <v>71</v>
      </c>
      <c r="AY335" s="12">
        <v>1339</v>
      </c>
      <c r="AZ335" s="12">
        <v>0</v>
      </c>
      <c r="BA335" s="12" t="s">
        <v>4511</v>
      </c>
      <c r="BB335" s="12" t="s">
        <v>6337</v>
      </c>
      <c r="BC335" s="12" t="s">
        <v>6338</v>
      </c>
      <c r="BD335" s="12"/>
      <c r="BE335" s="12" t="s">
        <v>2291</v>
      </c>
      <c r="BF335" s="12"/>
      <c r="BG335" s="12"/>
      <c r="BH335" s="12"/>
      <c r="BI335" s="12"/>
      <c r="BJ335" s="12"/>
      <c r="BK335" s="12"/>
      <c r="BL335" s="12" t="s">
        <v>2292</v>
      </c>
      <c r="BM335" s="12" t="s">
        <v>2292</v>
      </c>
      <c r="BN335" s="12" t="s">
        <v>2292</v>
      </c>
      <c r="BO335" s="12" t="s">
        <v>2292</v>
      </c>
      <c r="BP335" s="12"/>
      <c r="BQ335" s="12"/>
      <c r="BR335" s="12"/>
      <c r="BS335" s="12"/>
      <c r="BT335" s="12"/>
      <c r="BU335" s="12"/>
      <c r="BV335" s="12"/>
      <c r="BW335" s="12" t="s">
        <v>4512</v>
      </c>
      <c r="BX335" s="12"/>
      <c r="BY335" s="13" t="s">
        <v>313</v>
      </c>
      <c r="BZ335" s="13" t="s">
        <v>6170</v>
      </c>
      <c r="CA335" s="13" t="s">
        <v>6170</v>
      </c>
      <c r="CB335" s="13" t="s">
        <v>6197</v>
      </c>
      <c r="CC335" s="13"/>
      <c r="CD335" s="13" t="s">
        <v>6195</v>
      </c>
      <c r="CE335" s="13"/>
      <c r="CF335" s="13"/>
    </row>
    <row r="336" spans="1:84" ht="18.600000000000001" customHeight="1" x14ac:dyDescent="0.25">
      <c r="A336" s="60" t="s">
        <v>122</v>
      </c>
      <c r="B336" s="2" t="s">
        <v>1304</v>
      </c>
      <c r="C336" s="3" t="s">
        <v>2425</v>
      </c>
      <c r="D336" s="12" t="s">
        <v>1303</v>
      </c>
      <c r="E336" s="12"/>
      <c r="F336" s="12" t="s">
        <v>4480</v>
      </c>
      <c r="G336" s="25">
        <v>99388</v>
      </c>
      <c r="H336" s="25">
        <v>75367</v>
      </c>
      <c r="I336" s="25">
        <v>7098</v>
      </c>
      <c r="J336" s="25">
        <v>7243</v>
      </c>
      <c r="K336" s="25">
        <v>53503</v>
      </c>
      <c r="L336" s="25">
        <v>7913</v>
      </c>
      <c r="M336" s="25">
        <v>61416</v>
      </c>
      <c r="N336" s="31">
        <v>0.87</v>
      </c>
      <c r="O336" s="25">
        <v>2234</v>
      </c>
      <c r="P336" s="25">
        <v>0</v>
      </c>
      <c r="Q336" s="25">
        <v>3612</v>
      </c>
      <c r="R336" s="25">
        <v>490</v>
      </c>
      <c r="S336" s="25">
        <v>918</v>
      </c>
      <c r="T336" s="25">
        <v>3277</v>
      </c>
      <c r="U336" s="61">
        <v>1382</v>
      </c>
      <c r="V336" s="58">
        <v>2.8E-3</v>
      </c>
      <c r="W336" s="33">
        <v>3.2000000000000002E-3</v>
      </c>
      <c r="X336" s="33">
        <v>2.2000000000000001E-3</v>
      </c>
      <c r="Y336" s="33">
        <v>4.3E-3</v>
      </c>
      <c r="Z336" s="33">
        <v>2.5999999999999999E-3</v>
      </c>
      <c r="AA336" s="33">
        <v>2.5999999999999999E-3</v>
      </c>
      <c r="AB336" s="25">
        <v>991</v>
      </c>
      <c r="AC336" s="25">
        <v>389</v>
      </c>
      <c r="AD336" s="25">
        <v>470</v>
      </c>
      <c r="AE336" s="25">
        <v>66</v>
      </c>
      <c r="AF336" s="25">
        <v>36</v>
      </c>
      <c r="AG336" s="25">
        <v>3</v>
      </c>
      <c r="AH336" s="25">
        <v>27</v>
      </c>
      <c r="AI336" s="12">
        <v>2.2599999999999998</v>
      </c>
      <c r="AJ336" s="25">
        <v>37109</v>
      </c>
      <c r="AK336" s="25">
        <v>1975</v>
      </c>
      <c r="AL336" s="33">
        <v>5.62E-2</v>
      </c>
      <c r="AM336" s="3" t="s">
        <v>2425</v>
      </c>
      <c r="AN336" s="12" t="s">
        <v>5263</v>
      </c>
      <c r="AO336" s="12"/>
      <c r="AP336" s="12" t="str">
        <f>"66985740526"</f>
        <v>66985740526</v>
      </c>
      <c r="AQ336" s="12" t="s">
        <v>1303</v>
      </c>
      <c r="AR336" s="12" t="s">
        <v>1301</v>
      </c>
      <c r="AS336" s="12"/>
      <c r="AT336" s="12"/>
      <c r="AU336" s="12" t="s">
        <v>309</v>
      </c>
      <c r="AV336" s="12"/>
      <c r="AW336" s="12"/>
      <c r="AX336" s="12">
        <v>36</v>
      </c>
      <c r="AY336" s="12">
        <v>1033</v>
      </c>
      <c r="AZ336" s="12">
        <v>0</v>
      </c>
      <c r="BA336" s="12" t="s">
        <v>3199</v>
      </c>
      <c r="BB336" s="12" t="s">
        <v>6449</v>
      </c>
      <c r="BC336" s="12" t="s">
        <v>6450</v>
      </c>
      <c r="BD336" s="12"/>
      <c r="BE336" s="12" t="s">
        <v>2291</v>
      </c>
      <c r="BF336" s="12"/>
      <c r="BG336" s="12"/>
      <c r="BH336" s="12"/>
      <c r="BI336" s="12"/>
      <c r="BJ336" s="12"/>
      <c r="BK336" s="12"/>
      <c r="BL336" s="12" t="s">
        <v>2292</v>
      </c>
      <c r="BM336" s="12" t="s">
        <v>2292</v>
      </c>
      <c r="BN336" s="12" t="s">
        <v>2292</v>
      </c>
      <c r="BO336" s="12" t="s">
        <v>2291</v>
      </c>
      <c r="BP336" s="12"/>
      <c r="BQ336" s="12"/>
      <c r="BR336" s="12"/>
      <c r="BS336" s="12"/>
      <c r="BT336" s="12"/>
      <c r="BU336" s="12"/>
      <c r="BV336" s="12"/>
      <c r="BW336" s="12" t="s">
        <v>1302</v>
      </c>
      <c r="BX336" s="12"/>
      <c r="BY336" s="13" t="s">
        <v>313</v>
      </c>
      <c r="BZ336" s="13" t="s">
        <v>6170</v>
      </c>
      <c r="CA336" s="13" t="s">
        <v>6170</v>
      </c>
      <c r="CB336" s="13" t="s">
        <v>6197</v>
      </c>
      <c r="CC336" s="13"/>
      <c r="CD336" s="13" t="s">
        <v>6198</v>
      </c>
      <c r="CE336" s="13"/>
      <c r="CF336" s="13"/>
    </row>
    <row r="337" spans="1:84" ht="18.600000000000001" customHeight="1" x14ac:dyDescent="0.25">
      <c r="A337" s="60" t="s">
        <v>122</v>
      </c>
      <c r="B337" s="2" t="s">
        <v>335</v>
      </c>
      <c r="C337" s="3" t="s">
        <v>3898</v>
      </c>
      <c r="D337" s="12" t="s">
        <v>1305</v>
      </c>
      <c r="E337" s="12" t="s">
        <v>1305</v>
      </c>
      <c r="F337" s="12" t="s">
        <v>4009</v>
      </c>
      <c r="G337" s="25">
        <v>83925</v>
      </c>
      <c r="H337" s="25">
        <v>55425</v>
      </c>
      <c r="I337" s="25">
        <v>2515</v>
      </c>
      <c r="J337" s="25">
        <v>20890</v>
      </c>
      <c r="K337" s="25">
        <v>67216</v>
      </c>
      <c r="L337" s="25">
        <v>141215</v>
      </c>
      <c r="M337" s="25">
        <v>208431</v>
      </c>
      <c r="N337" s="31">
        <v>0.32</v>
      </c>
      <c r="O337" s="25">
        <v>3465</v>
      </c>
      <c r="P337" s="25">
        <v>25024</v>
      </c>
      <c r="Q337" s="25">
        <v>4040</v>
      </c>
      <c r="R337" s="25">
        <v>263</v>
      </c>
      <c r="S337" s="25">
        <v>272</v>
      </c>
      <c r="T337" s="25">
        <v>422</v>
      </c>
      <c r="U337" s="61">
        <v>94</v>
      </c>
      <c r="V337" s="58">
        <v>3.8E-3</v>
      </c>
      <c r="W337" s="33">
        <v>3.7000000000000002E-3</v>
      </c>
      <c r="X337" s="33">
        <v>2.5999999999999999E-3</v>
      </c>
      <c r="Y337" s="33">
        <v>0</v>
      </c>
      <c r="Z337" s="33">
        <v>4.7999999999999996E-3</v>
      </c>
      <c r="AA337" s="33">
        <v>4.7000000000000002E-3</v>
      </c>
      <c r="AB337" s="25">
        <v>962</v>
      </c>
      <c r="AC337" s="25">
        <v>871</v>
      </c>
      <c r="AD337" s="25">
        <v>4</v>
      </c>
      <c r="AE337" s="25">
        <v>2</v>
      </c>
      <c r="AF337" s="25">
        <v>72</v>
      </c>
      <c r="AG337" s="25">
        <v>4</v>
      </c>
      <c r="AH337" s="25">
        <v>9</v>
      </c>
      <c r="AI337" s="12">
        <v>2.19</v>
      </c>
      <c r="AJ337" s="25">
        <v>27076</v>
      </c>
      <c r="AK337" s="25">
        <v>8798</v>
      </c>
      <c r="AL337" s="33">
        <v>0.48130000000000001</v>
      </c>
      <c r="AM337" s="3" t="s">
        <v>3898</v>
      </c>
      <c r="AN337" s="12" t="s">
        <v>1305</v>
      </c>
      <c r="AO337" s="12" t="s">
        <v>1305</v>
      </c>
      <c r="AP337" s="12" t="str">
        <f>"268916186486576"</f>
        <v>268916186486576</v>
      </c>
      <c r="AQ337" s="12" t="s">
        <v>1305</v>
      </c>
      <c r="AR337" s="12" t="s">
        <v>1306</v>
      </c>
      <c r="AS337" s="12" t="s">
        <v>3546</v>
      </c>
      <c r="AT337" s="12"/>
      <c r="AU337" s="12" t="s">
        <v>324</v>
      </c>
      <c r="AV337" s="12" t="s">
        <v>5782</v>
      </c>
      <c r="AW337" s="12" t="s">
        <v>3547</v>
      </c>
      <c r="AX337" s="12">
        <v>310</v>
      </c>
      <c r="AY337" s="12">
        <v>1507</v>
      </c>
      <c r="AZ337" s="12">
        <v>310</v>
      </c>
      <c r="BA337" s="12" t="s">
        <v>3402</v>
      </c>
      <c r="BB337" s="12" t="s">
        <v>6451</v>
      </c>
      <c r="BC337" s="12" t="s">
        <v>6452</v>
      </c>
      <c r="BD337" s="12"/>
      <c r="BE337" s="12" t="s">
        <v>2291</v>
      </c>
      <c r="BF337" s="12"/>
      <c r="BG337" s="12"/>
      <c r="BH337" s="12"/>
      <c r="BI337" s="12" t="s">
        <v>2426</v>
      </c>
      <c r="BJ337" s="12"/>
      <c r="BK337" s="12"/>
      <c r="BL337" s="12" t="s">
        <v>2292</v>
      </c>
      <c r="BM337" s="12" t="s">
        <v>2292</v>
      </c>
      <c r="BN337" s="12" t="s">
        <v>2292</v>
      </c>
      <c r="BO337" s="12" t="s">
        <v>2291</v>
      </c>
      <c r="BP337" s="12"/>
      <c r="BQ337" s="12"/>
      <c r="BR337" s="12"/>
      <c r="BS337" s="12"/>
      <c r="BT337" s="12"/>
      <c r="BU337" s="12" t="s">
        <v>4529</v>
      </c>
      <c r="BV337" s="12" t="s">
        <v>2427</v>
      </c>
      <c r="BW337" s="12" t="s">
        <v>1307</v>
      </c>
      <c r="BX337" s="12"/>
      <c r="BY337" s="13" t="s">
        <v>313</v>
      </c>
      <c r="BZ337" s="13" t="s">
        <v>6171</v>
      </c>
      <c r="CA337" s="13" t="s">
        <v>6170</v>
      </c>
      <c r="CB337" s="13" t="s">
        <v>6197</v>
      </c>
      <c r="CC337" s="13"/>
      <c r="CD337" s="13" t="s">
        <v>6198</v>
      </c>
      <c r="CE337" s="13"/>
      <c r="CF337" s="13" t="s">
        <v>6178</v>
      </c>
    </row>
    <row r="338" spans="1:84" ht="18.600000000000001" customHeight="1" x14ac:dyDescent="0.25">
      <c r="A338" s="60" t="s">
        <v>124</v>
      </c>
      <c r="B338" s="2" t="s">
        <v>1311</v>
      </c>
      <c r="C338" s="3" t="s">
        <v>2343</v>
      </c>
      <c r="D338" s="12" t="s">
        <v>1308</v>
      </c>
      <c r="E338" s="12"/>
      <c r="F338" s="12" t="s">
        <v>4446</v>
      </c>
      <c r="G338" s="25">
        <v>44778</v>
      </c>
      <c r="H338" s="25">
        <v>39716</v>
      </c>
      <c r="I338" s="25">
        <v>1646</v>
      </c>
      <c r="J338" s="25">
        <v>2314</v>
      </c>
      <c r="K338" s="25">
        <v>0</v>
      </c>
      <c r="L338" s="25">
        <v>0</v>
      </c>
      <c r="M338" s="25">
        <v>0</v>
      </c>
      <c r="N338" s="31">
        <v>0</v>
      </c>
      <c r="O338" s="25">
        <v>3850</v>
      </c>
      <c r="P338" s="25">
        <v>0</v>
      </c>
      <c r="Q338" s="25">
        <v>755</v>
      </c>
      <c r="R338" s="25">
        <v>26</v>
      </c>
      <c r="S338" s="25">
        <v>88</v>
      </c>
      <c r="T338" s="25">
        <v>195</v>
      </c>
      <c r="U338" s="61">
        <v>37</v>
      </c>
      <c r="V338" s="58">
        <v>7.4000000000000003E-3</v>
      </c>
      <c r="W338" s="33">
        <v>1.9900000000000001E-2</v>
      </c>
      <c r="X338" s="33">
        <v>6.1000000000000004E-3</v>
      </c>
      <c r="Y338" s="12" t="s">
        <v>3926</v>
      </c>
      <c r="Z338" s="12" t="s">
        <v>3926</v>
      </c>
      <c r="AA338" s="33">
        <v>6.1000000000000004E-3</v>
      </c>
      <c r="AB338" s="25">
        <v>214</v>
      </c>
      <c r="AC338" s="25">
        <v>21</v>
      </c>
      <c r="AD338" s="25">
        <v>181</v>
      </c>
      <c r="AE338" s="25">
        <v>0</v>
      </c>
      <c r="AF338" s="25">
        <v>0</v>
      </c>
      <c r="AG338" s="25">
        <v>2</v>
      </c>
      <c r="AH338" s="25">
        <v>10</v>
      </c>
      <c r="AI338" s="12">
        <v>0.49</v>
      </c>
      <c r="AJ338" s="25">
        <v>28848</v>
      </c>
      <c r="AK338" s="25">
        <v>1499</v>
      </c>
      <c r="AL338" s="33">
        <v>5.4800000000000001E-2</v>
      </c>
      <c r="AM338" s="3" t="s">
        <v>2343</v>
      </c>
      <c r="AN338" s="12" t="s">
        <v>5234</v>
      </c>
      <c r="AO338" s="12"/>
      <c r="AP338" s="12" t="str">
        <f>"142839432423177"</f>
        <v>142839432423177</v>
      </c>
      <c r="AQ338" s="12" t="s">
        <v>1308</v>
      </c>
      <c r="AR338" s="12" t="s">
        <v>1309</v>
      </c>
      <c r="AS338" s="12" t="s">
        <v>2344</v>
      </c>
      <c r="AT338" s="12"/>
      <c r="AU338" s="12" t="s">
        <v>309</v>
      </c>
      <c r="AV338" s="12"/>
      <c r="AW338" s="12"/>
      <c r="AX338" s="12">
        <v>0</v>
      </c>
      <c r="AY338" s="12">
        <v>681</v>
      </c>
      <c r="AZ338" s="12">
        <v>0</v>
      </c>
      <c r="BA338" s="12" t="s">
        <v>1310</v>
      </c>
      <c r="BB338" s="12"/>
      <c r="BC338" s="12" t="s">
        <v>6322</v>
      </c>
      <c r="BD338" s="12"/>
      <c r="BE338" s="12" t="s">
        <v>2291</v>
      </c>
      <c r="BF338" s="12"/>
      <c r="BG338" s="12"/>
      <c r="BH338" s="12"/>
      <c r="BI338" s="12"/>
      <c r="BJ338" s="12"/>
      <c r="BK338" s="12"/>
      <c r="BL338" s="12" t="s">
        <v>2292</v>
      </c>
      <c r="BM338" s="12" t="s">
        <v>2292</v>
      </c>
      <c r="BN338" s="12" t="s">
        <v>2292</v>
      </c>
      <c r="BO338" s="12" t="s">
        <v>2292</v>
      </c>
      <c r="BP338" s="12"/>
      <c r="BQ338" s="12"/>
      <c r="BR338" s="12"/>
      <c r="BS338" s="12"/>
      <c r="BT338" s="12"/>
      <c r="BU338" s="12"/>
      <c r="BV338" s="12"/>
      <c r="BW338" s="12"/>
      <c r="BX338" s="12"/>
      <c r="BY338" s="13" t="s">
        <v>313</v>
      </c>
      <c r="BZ338" s="13" t="s">
        <v>312</v>
      </c>
      <c r="CA338" s="13"/>
      <c r="CB338" s="13"/>
      <c r="CC338" s="13"/>
      <c r="CD338" s="13"/>
      <c r="CE338" s="13"/>
      <c r="CF338" s="13"/>
    </row>
    <row r="339" spans="1:84" ht="18.600000000000001" customHeight="1" x14ac:dyDescent="0.25">
      <c r="A339" s="28" t="s">
        <v>124</v>
      </c>
      <c r="B339" s="12" t="s">
        <v>6210</v>
      </c>
      <c r="C339" s="3" t="s">
        <v>6211</v>
      </c>
      <c r="D339" s="12" t="s">
        <v>6209</v>
      </c>
      <c r="E339" s="12"/>
      <c r="F339" s="12" t="s">
        <v>7414</v>
      </c>
      <c r="G339" s="25">
        <v>12524</v>
      </c>
      <c r="H339" s="25">
        <v>11420</v>
      </c>
      <c r="I339" s="25">
        <v>516</v>
      </c>
      <c r="J339" s="25">
        <v>290</v>
      </c>
      <c r="K339" s="25">
        <v>834</v>
      </c>
      <c r="L339" s="25">
        <v>192</v>
      </c>
      <c r="M339" s="25">
        <v>1026</v>
      </c>
      <c r="N339" s="31">
        <v>0.81</v>
      </c>
      <c r="O339" s="25">
        <v>0</v>
      </c>
      <c r="P339" s="25">
        <v>0</v>
      </c>
      <c r="Q339" s="25">
        <v>69</v>
      </c>
      <c r="R339" s="25">
        <v>23</v>
      </c>
      <c r="S339" s="25">
        <v>81</v>
      </c>
      <c r="T339" s="25">
        <v>61</v>
      </c>
      <c r="U339" s="61">
        <v>64</v>
      </c>
      <c r="V339" s="58">
        <v>4.0800000000000003E-2</v>
      </c>
      <c r="W339" s="33">
        <v>0</v>
      </c>
      <c r="X339" s="33">
        <v>0</v>
      </c>
      <c r="Y339" s="33">
        <v>0</v>
      </c>
      <c r="Z339" s="33">
        <v>3.3300000000000003E-2</v>
      </c>
      <c r="AA339" s="33">
        <v>3.5799999999999998E-2</v>
      </c>
      <c r="AB339" s="25">
        <v>252</v>
      </c>
      <c r="AC339" s="25">
        <v>202</v>
      </c>
      <c r="AD339" s="25">
        <v>33</v>
      </c>
      <c r="AE339" s="25">
        <v>3</v>
      </c>
      <c r="AF339" s="25">
        <v>1</v>
      </c>
      <c r="AG339" s="25">
        <v>0</v>
      </c>
      <c r="AH339" s="25">
        <v>13</v>
      </c>
      <c r="AI339" s="12">
        <v>0.56999999999999995</v>
      </c>
      <c r="AJ339" s="25">
        <v>1200</v>
      </c>
      <c r="AK339" s="25">
        <v>0</v>
      </c>
      <c r="AL339" s="31">
        <v>0</v>
      </c>
      <c r="AM339" s="3" t="s">
        <v>6211</v>
      </c>
      <c r="AN339" s="12" t="s">
        <v>6666</v>
      </c>
      <c r="AO339" s="12"/>
      <c r="AP339" s="12" t="str">
        <f>"125367794733621"</f>
        <v>125367794733621</v>
      </c>
      <c r="AQ339" s="12" t="s">
        <v>6209</v>
      </c>
      <c r="AR339" s="12"/>
      <c r="AS339" s="12"/>
      <c r="AT339" s="12"/>
      <c r="AU339" s="12" t="s">
        <v>309</v>
      </c>
      <c r="AV339" s="12"/>
      <c r="AW339" s="12"/>
      <c r="AX339" s="12">
        <v>0</v>
      </c>
      <c r="AY339" s="12">
        <v>204</v>
      </c>
      <c r="AZ339" s="12">
        <v>0</v>
      </c>
      <c r="BA339" s="12" t="s">
        <v>6667</v>
      </c>
      <c r="BB339" s="12"/>
      <c r="BC339" s="12" t="s">
        <v>6668</v>
      </c>
      <c r="BD339" s="12"/>
      <c r="BE339" s="12" t="s">
        <v>2291</v>
      </c>
      <c r="BF339" s="12"/>
      <c r="BG339" s="12"/>
      <c r="BH339" s="12"/>
      <c r="BI339" s="12"/>
      <c r="BJ339" s="12"/>
      <c r="BK339" s="12"/>
      <c r="BL339" s="12" t="s">
        <v>2292</v>
      </c>
      <c r="BM339" s="12" t="s">
        <v>2292</v>
      </c>
      <c r="BN339" s="12" t="s">
        <v>2292</v>
      </c>
      <c r="BO339" s="12" t="s">
        <v>2292</v>
      </c>
      <c r="BP339" s="12"/>
      <c r="BQ339" s="12"/>
      <c r="BR339" s="12"/>
      <c r="BS339" s="12"/>
      <c r="BT339" s="12"/>
      <c r="BU339" s="12"/>
      <c r="BV339" s="12"/>
      <c r="BW339" s="12"/>
      <c r="BX339" s="12"/>
      <c r="BY339" s="2"/>
      <c r="BZ339" s="13" t="s">
        <v>6170</v>
      </c>
      <c r="CA339" s="13" t="s">
        <v>6170</v>
      </c>
      <c r="CB339" s="13" t="s">
        <v>312</v>
      </c>
      <c r="CC339" s="13"/>
      <c r="CD339" s="13" t="s">
        <v>6198</v>
      </c>
      <c r="CE339" s="13"/>
      <c r="CF339" s="13"/>
    </row>
    <row r="340" spans="1:84" ht="18.600000000000001" customHeight="1" x14ac:dyDescent="0.25">
      <c r="A340" s="60" t="s">
        <v>125</v>
      </c>
      <c r="B340" s="2" t="s">
        <v>4674</v>
      </c>
      <c r="C340" s="20" t="s">
        <v>4744</v>
      </c>
      <c r="D340" s="12" t="s">
        <v>4730</v>
      </c>
      <c r="E340" s="12" t="s">
        <v>4753</v>
      </c>
      <c r="F340" s="12" t="s">
        <v>4754</v>
      </c>
      <c r="G340" s="25">
        <v>599446</v>
      </c>
      <c r="H340" s="25">
        <v>506029</v>
      </c>
      <c r="I340" s="25">
        <v>25316</v>
      </c>
      <c r="J340" s="25">
        <v>45099</v>
      </c>
      <c r="K340" s="25">
        <v>922517</v>
      </c>
      <c r="L340" s="25">
        <v>961649</v>
      </c>
      <c r="M340" s="25">
        <v>1884166</v>
      </c>
      <c r="N340" s="31">
        <v>0.49</v>
      </c>
      <c r="O340" s="25">
        <v>37179</v>
      </c>
      <c r="P340" s="25">
        <v>50520</v>
      </c>
      <c r="Q340" s="25">
        <v>18228</v>
      </c>
      <c r="R340" s="25">
        <v>1398</v>
      </c>
      <c r="S340" s="25">
        <v>884</v>
      </c>
      <c r="T340" s="25">
        <v>1386</v>
      </c>
      <c r="U340" s="61">
        <v>1105</v>
      </c>
      <c r="V340" s="58">
        <v>3.5099999999999999E-2</v>
      </c>
      <c r="W340" s="33">
        <v>3.6299999999999999E-2</v>
      </c>
      <c r="X340" s="33">
        <v>2.2599999999999999E-2</v>
      </c>
      <c r="Y340" s="33">
        <v>4.5400000000000003E-2</v>
      </c>
      <c r="Z340" s="33">
        <v>3.5200000000000002E-2</v>
      </c>
      <c r="AA340" s="33">
        <v>1.35E-2</v>
      </c>
      <c r="AB340" s="25">
        <v>223</v>
      </c>
      <c r="AC340" s="25">
        <v>107</v>
      </c>
      <c r="AD340" s="25">
        <v>15</v>
      </c>
      <c r="AE340" s="25">
        <v>47</v>
      </c>
      <c r="AF340" s="25">
        <v>48</v>
      </c>
      <c r="AG340" s="25">
        <v>4</v>
      </c>
      <c r="AH340" s="25">
        <v>2</v>
      </c>
      <c r="AI340" s="12">
        <v>0.51</v>
      </c>
      <c r="AJ340" s="25">
        <v>99910</v>
      </c>
      <c r="AK340" s="25">
        <v>54414</v>
      </c>
      <c r="AL340" s="33">
        <v>1.196</v>
      </c>
      <c r="AM340" s="20" t="s">
        <v>4744</v>
      </c>
      <c r="AN340" s="12" t="s">
        <v>4753</v>
      </c>
      <c r="AO340" s="12" t="s">
        <v>4753</v>
      </c>
      <c r="AP340" s="12" t="str">
        <f>"1650025348648216"</f>
        <v>1650025348648216</v>
      </c>
      <c r="AQ340" s="12" t="s">
        <v>4730</v>
      </c>
      <c r="AR340" s="12" t="s">
        <v>4771</v>
      </c>
      <c r="AS340" s="12" t="s">
        <v>4772</v>
      </c>
      <c r="AT340" s="12" t="s">
        <v>4731</v>
      </c>
      <c r="AU340" s="12" t="s">
        <v>319</v>
      </c>
      <c r="AV340" s="12"/>
      <c r="AW340" s="12"/>
      <c r="AX340" s="12">
        <v>0</v>
      </c>
      <c r="AY340" s="12">
        <v>14549</v>
      </c>
      <c r="AZ340" s="12">
        <v>0</v>
      </c>
      <c r="BA340" s="12" t="s">
        <v>4773</v>
      </c>
      <c r="BB340" s="12"/>
      <c r="BC340" s="12" t="s">
        <v>7104</v>
      </c>
      <c r="BD340" s="12"/>
      <c r="BE340" s="12" t="s">
        <v>2291</v>
      </c>
      <c r="BF340" s="12"/>
      <c r="BG340" s="12"/>
      <c r="BH340" s="12"/>
      <c r="BI340" s="12"/>
      <c r="BJ340" s="12"/>
      <c r="BK340" s="12"/>
      <c r="BL340" s="12" t="s">
        <v>2292</v>
      </c>
      <c r="BM340" s="12" t="s">
        <v>2292</v>
      </c>
      <c r="BN340" s="12" t="s">
        <v>2292</v>
      </c>
      <c r="BO340" s="12" t="s">
        <v>2292</v>
      </c>
      <c r="BP340" s="12"/>
      <c r="BQ340" s="12"/>
      <c r="BR340" s="12"/>
      <c r="BS340" s="12"/>
      <c r="BT340" s="12"/>
      <c r="BU340" s="12"/>
      <c r="BV340" s="12"/>
      <c r="BW340" s="12"/>
      <c r="BX340" s="12"/>
      <c r="BY340" s="13" t="s">
        <v>313</v>
      </c>
      <c r="BZ340" s="13" t="s">
        <v>312</v>
      </c>
      <c r="CA340" s="13"/>
      <c r="CB340" s="13"/>
      <c r="CC340" s="13"/>
      <c r="CD340" s="13"/>
      <c r="CE340" s="13"/>
      <c r="CF340" s="13"/>
    </row>
    <row r="341" spans="1:84" ht="18.600000000000001" customHeight="1" x14ac:dyDescent="0.25">
      <c r="A341" s="60" t="s">
        <v>125</v>
      </c>
      <c r="B341" s="2" t="s">
        <v>335</v>
      </c>
      <c r="C341" s="3" t="s">
        <v>2701</v>
      </c>
      <c r="D341" s="12" t="s">
        <v>1312</v>
      </c>
      <c r="E341" s="12" t="s">
        <v>126</v>
      </c>
      <c r="F341" s="12" t="s">
        <v>4177</v>
      </c>
      <c r="G341" s="25">
        <v>17672</v>
      </c>
      <c r="H341" s="25">
        <v>11501</v>
      </c>
      <c r="I341" s="25">
        <v>440</v>
      </c>
      <c r="J341" s="25">
        <v>4928</v>
      </c>
      <c r="K341" s="25">
        <v>24937</v>
      </c>
      <c r="L341" s="25">
        <v>136782</v>
      </c>
      <c r="M341" s="25">
        <v>161719</v>
      </c>
      <c r="N341" s="31">
        <v>0.15</v>
      </c>
      <c r="O341" s="25">
        <v>2867</v>
      </c>
      <c r="P341" s="25">
        <v>0</v>
      </c>
      <c r="Q341" s="25">
        <v>523</v>
      </c>
      <c r="R341" s="25">
        <v>79</v>
      </c>
      <c r="S341" s="25">
        <v>81</v>
      </c>
      <c r="T341" s="25">
        <v>93</v>
      </c>
      <c r="U341" s="61">
        <v>27</v>
      </c>
      <c r="V341" s="58">
        <v>2.2000000000000001E-3</v>
      </c>
      <c r="W341" s="33">
        <v>2E-3</v>
      </c>
      <c r="X341" s="33">
        <v>1.8E-3</v>
      </c>
      <c r="Y341" s="33">
        <v>8.9999999999999998E-4</v>
      </c>
      <c r="Z341" s="33">
        <v>3.1E-2</v>
      </c>
      <c r="AA341" s="33">
        <v>1.2999999999999999E-3</v>
      </c>
      <c r="AB341" s="25">
        <v>474</v>
      </c>
      <c r="AC341" s="25">
        <v>105</v>
      </c>
      <c r="AD341" s="25">
        <v>219</v>
      </c>
      <c r="AE341" s="25">
        <v>132</v>
      </c>
      <c r="AF341" s="25">
        <v>10</v>
      </c>
      <c r="AG341" s="25">
        <v>5</v>
      </c>
      <c r="AH341" s="25">
        <v>3</v>
      </c>
      <c r="AI341" s="12">
        <v>1.08</v>
      </c>
      <c r="AJ341" s="25">
        <v>17868</v>
      </c>
      <c r="AK341" s="25">
        <v>1930</v>
      </c>
      <c r="AL341" s="33">
        <v>0.1211</v>
      </c>
      <c r="AM341" s="3" t="s">
        <v>2701</v>
      </c>
      <c r="AN341" s="12" t="s">
        <v>126</v>
      </c>
      <c r="AO341" s="12" t="s">
        <v>126</v>
      </c>
      <c r="AP341" s="12" t="str">
        <f>"114389605256910"</f>
        <v>114389605256910</v>
      </c>
      <c r="AQ341" s="12" t="s">
        <v>1312</v>
      </c>
      <c r="AR341" s="12" t="s">
        <v>2702</v>
      </c>
      <c r="AS341" s="12" t="s">
        <v>2703</v>
      </c>
      <c r="AT341" s="12"/>
      <c r="AU341" s="12" t="s">
        <v>324</v>
      </c>
      <c r="AV341" s="12" t="s">
        <v>5899</v>
      </c>
      <c r="AW341" s="12"/>
      <c r="AX341" s="12">
        <v>1236</v>
      </c>
      <c r="AY341" s="12">
        <v>567</v>
      </c>
      <c r="AZ341" s="12">
        <v>0</v>
      </c>
      <c r="BA341" s="12" t="s">
        <v>1313</v>
      </c>
      <c r="BB341" s="12" t="s">
        <v>6827</v>
      </c>
      <c r="BC341" s="12" t="s">
        <v>6828</v>
      </c>
      <c r="BD341" s="12"/>
      <c r="BE341" s="12" t="s">
        <v>2291</v>
      </c>
      <c r="BF341" s="12"/>
      <c r="BG341" s="12"/>
      <c r="BH341" s="12"/>
      <c r="BI341" s="12" t="s">
        <v>2704</v>
      </c>
      <c r="BJ341" s="12"/>
      <c r="BK341" s="12"/>
      <c r="BL341" s="12" t="s">
        <v>2292</v>
      </c>
      <c r="BM341" s="12" t="s">
        <v>2292</v>
      </c>
      <c r="BN341" s="12" t="s">
        <v>2292</v>
      </c>
      <c r="BO341" s="12" t="s">
        <v>2292</v>
      </c>
      <c r="BP341" s="12" t="s">
        <v>1314</v>
      </c>
      <c r="BQ341" s="12"/>
      <c r="BR341" s="12"/>
      <c r="BS341" s="12"/>
      <c r="BT341" s="12" t="s">
        <v>2705</v>
      </c>
      <c r="BU341" s="12" t="s">
        <v>326</v>
      </c>
      <c r="BV341" s="12"/>
      <c r="BW341" s="12" t="s">
        <v>1315</v>
      </c>
      <c r="BX341" s="12"/>
      <c r="BY341" s="13" t="s">
        <v>313</v>
      </c>
      <c r="BZ341" s="13" t="s">
        <v>6181</v>
      </c>
      <c r="CA341" s="13" t="s">
        <v>6170</v>
      </c>
      <c r="CB341" s="13" t="s">
        <v>6200</v>
      </c>
      <c r="CC341" s="13"/>
      <c r="CD341" s="13" t="s">
        <v>6198</v>
      </c>
      <c r="CE341" s="13"/>
      <c r="CF341" s="13"/>
    </row>
    <row r="342" spans="1:84" ht="18.600000000000001" customHeight="1" x14ac:dyDescent="0.25">
      <c r="A342" s="60" t="s">
        <v>127</v>
      </c>
      <c r="B342" s="2" t="s">
        <v>1321</v>
      </c>
      <c r="C342" s="3" t="s">
        <v>2650</v>
      </c>
      <c r="D342" s="12" t="s">
        <v>1317</v>
      </c>
      <c r="E342" s="12" t="s">
        <v>1316</v>
      </c>
      <c r="F342" s="12" t="s">
        <v>4141</v>
      </c>
      <c r="G342" s="25">
        <v>892670</v>
      </c>
      <c r="H342" s="25">
        <v>795327</v>
      </c>
      <c r="I342" s="25">
        <v>28379</v>
      </c>
      <c r="J342" s="25">
        <v>19417</v>
      </c>
      <c r="K342" s="25">
        <v>247666</v>
      </c>
      <c r="L342" s="25">
        <v>84516</v>
      </c>
      <c r="M342" s="25">
        <v>332182</v>
      </c>
      <c r="N342" s="31">
        <v>0.75</v>
      </c>
      <c r="O342" s="25">
        <v>0</v>
      </c>
      <c r="P342" s="25">
        <v>0</v>
      </c>
      <c r="Q342" s="25">
        <v>41909</v>
      </c>
      <c r="R342" s="25">
        <v>1146</v>
      </c>
      <c r="S342" s="25">
        <v>1506</v>
      </c>
      <c r="T342" s="25">
        <v>4409</v>
      </c>
      <c r="U342" s="61">
        <v>494</v>
      </c>
      <c r="V342" s="58">
        <v>1.1299999999999999E-2</v>
      </c>
      <c r="W342" s="33">
        <v>1.1299999999999999E-2</v>
      </c>
      <c r="X342" s="33">
        <v>6.7999999999999996E-3</v>
      </c>
      <c r="Y342" s="33">
        <v>6.4000000000000003E-3</v>
      </c>
      <c r="Z342" s="33">
        <v>2.47E-2</v>
      </c>
      <c r="AA342" s="33">
        <v>8.9999999999999993E-3</v>
      </c>
      <c r="AB342" s="25">
        <v>202</v>
      </c>
      <c r="AC342" s="25">
        <v>188</v>
      </c>
      <c r="AD342" s="25">
        <v>8</v>
      </c>
      <c r="AE342" s="25">
        <v>1</v>
      </c>
      <c r="AF342" s="25">
        <v>3</v>
      </c>
      <c r="AG342" s="25">
        <v>0</v>
      </c>
      <c r="AH342" s="25">
        <v>2</v>
      </c>
      <c r="AI342" s="12">
        <v>0.46</v>
      </c>
      <c r="AJ342" s="25">
        <v>398798</v>
      </c>
      <c r="AK342" s="25">
        <v>16871</v>
      </c>
      <c r="AL342" s="33">
        <v>4.4200000000000003E-2</v>
      </c>
      <c r="AM342" s="3" t="s">
        <v>2650</v>
      </c>
      <c r="AN342" s="12" t="s">
        <v>1316</v>
      </c>
      <c r="AO342" s="12" t="s">
        <v>1316</v>
      </c>
      <c r="AP342" s="12" t="str">
        <f>"308923469174619"</f>
        <v>308923469174619</v>
      </c>
      <c r="AQ342" s="12" t="s">
        <v>1317</v>
      </c>
      <c r="AR342" s="12" t="s">
        <v>1318</v>
      </c>
      <c r="AS342" s="12" t="s">
        <v>2651</v>
      </c>
      <c r="AT342" s="12" t="s">
        <v>2652</v>
      </c>
      <c r="AU342" s="12" t="s">
        <v>309</v>
      </c>
      <c r="AV342" s="12"/>
      <c r="AW342" s="12"/>
      <c r="AX342" s="12">
        <v>0</v>
      </c>
      <c r="AY342" s="12">
        <v>8960</v>
      </c>
      <c r="AZ342" s="12">
        <v>0</v>
      </c>
      <c r="BA342" s="12" t="s">
        <v>1319</v>
      </c>
      <c r="BB342" s="12" t="s">
        <v>6746</v>
      </c>
      <c r="BC342" s="12" t="s">
        <v>6747</v>
      </c>
      <c r="BD342" s="12"/>
      <c r="BE342" s="12" t="s">
        <v>2291</v>
      </c>
      <c r="BF342" s="12"/>
      <c r="BG342" s="12"/>
      <c r="BH342" s="12"/>
      <c r="BI342" s="12"/>
      <c r="BJ342" s="12"/>
      <c r="BK342" s="12"/>
      <c r="BL342" s="12" t="s">
        <v>2292</v>
      </c>
      <c r="BM342" s="12" t="s">
        <v>2292</v>
      </c>
      <c r="BN342" s="12" t="s">
        <v>2292</v>
      </c>
      <c r="BO342" s="12" t="s">
        <v>2291</v>
      </c>
      <c r="BP342" s="12"/>
      <c r="BQ342" s="12"/>
      <c r="BR342" s="12"/>
      <c r="BS342" s="12"/>
      <c r="BT342" s="12"/>
      <c r="BU342" s="12"/>
      <c r="BV342" s="12"/>
      <c r="BW342" s="12" t="s">
        <v>1320</v>
      </c>
      <c r="BX342" s="12"/>
      <c r="BY342" s="13" t="s">
        <v>313</v>
      </c>
      <c r="BZ342" s="13" t="s">
        <v>6172</v>
      </c>
      <c r="CA342" s="13" t="s">
        <v>6170</v>
      </c>
      <c r="CB342" s="13" t="s">
        <v>6201</v>
      </c>
      <c r="CC342" s="13"/>
      <c r="CD342" s="13" t="s">
        <v>6198</v>
      </c>
      <c r="CE342" s="13"/>
      <c r="CF342" s="13"/>
    </row>
    <row r="343" spans="1:84" ht="18.600000000000001" customHeight="1" x14ac:dyDescent="0.25">
      <c r="A343" s="60" t="s">
        <v>127</v>
      </c>
      <c r="B343" s="2" t="s">
        <v>314</v>
      </c>
      <c r="C343" s="3" t="s">
        <v>3123</v>
      </c>
      <c r="D343" s="12" t="s">
        <v>1323</v>
      </c>
      <c r="E343" s="12" t="s">
        <v>1322</v>
      </c>
      <c r="F343" s="12" t="s">
        <v>4402</v>
      </c>
      <c r="G343" s="25">
        <v>35</v>
      </c>
      <c r="H343" s="25">
        <v>24</v>
      </c>
      <c r="I343" s="25">
        <v>5</v>
      </c>
      <c r="J343" s="25">
        <v>1</v>
      </c>
      <c r="K343" s="25">
        <v>0</v>
      </c>
      <c r="L343" s="25">
        <v>0</v>
      </c>
      <c r="M343" s="25">
        <v>0</v>
      </c>
      <c r="N343" s="31">
        <v>0</v>
      </c>
      <c r="O343" s="25">
        <v>0</v>
      </c>
      <c r="P343" s="25">
        <v>0</v>
      </c>
      <c r="Q343" s="25">
        <v>5</v>
      </c>
      <c r="R343" s="25">
        <v>0</v>
      </c>
      <c r="S343" s="25">
        <v>0</v>
      </c>
      <c r="T343" s="25">
        <v>0</v>
      </c>
      <c r="U343" s="61">
        <v>0</v>
      </c>
      <c r="V343" s="58">
        <v>1.2999999999999999E-2</v>
      </c>
      <c r="W343" s="33">
        <v>1.26E-2</v>
      </c>
      <c r="X343" s="12" t="s">
        <v>3926</v>
      </c>
      <c r="Y343" s="12" t="s">
        <v>3926</v>
      </c>
      <c r="Z343" s="12" t="s">
        <v>3926</v>
      </c>
      <c r="AA343" s="12" t="s">
        <v>3926</v>
      </c>
      <c r="AB343" s="25">
        <v>2</v>
      </c>
      <c r="AC343" s="25">
        <v>2</v>
      </c>
      <c r="AD343" s="25">
        <v>0</v>
      </c>
      <c r="AE343" s="25">
        <v>0</v>
      </c>
      <c r="AF343" s="25">
        <v>0</v>
      </c>
      <c r="AG343" s="25">
        <v>0</v>
      </c>
      <c r="AH343" s="25">
        <v>0</v>
      </c>
      <c r="AI343" s="12">
        <v>0</v>
      </c>
      <c r="AJ343" s="25">
        <v>1455</v>
      </c>
      <c r="AK343" s="25">
        <v>353</v>
      </c>
      <c r="AL343" s="33">
        <v>0.32029999999999997</v>
      </c>
      <c r="AM343" s="3" t="s">
        <v>3123</v>
      </c>
      <c r="AN343" s="12" t="s">
        <v>1322</v>
      </c>
      <c r="AO343" s="12" t="s">
        <v>1322</v>
      </c>
      <c r="AP343" s="12" t="str">
        <f>"146494362112243"</f>
        <v>146494362112243</v>
      </c>
      <c r="AQ343" s="12" t="s">
        <v>1323</v>
      </c>
      <c r="AR343" s="12" t="s">
        <v>6052</v>
      </c>
      <c r="AS343" s="12" t="s">
        <v>1324</v>
      </c>
      <c r="AT343" s="12"/>
      <c r="AU343" s="12" t="s">
        <v>5257</v>
      </c>
      <c r="AV343" s="12" t="s">
        <v>5764</v>
      </c>
      <c r="AW343" s="12" t="s">
        <v>1325</v>
      </c>
      <c r="AX343" s="12">
        <v>1914</v>
      </c>
      <c r="AY343" s="12">
        <v>12</v>
      </c>
      <c r="AZ343" s="12">
        <v>1914</v>
      </c>
      <c r="BA343" s="12" t="s">
        <v>1326</v>
      </c>
      <c r="BB343" s="12" t="s">
        <v>7349</v>
      </c>
      <c r="BC343" s="12" t="s">
        <v>7350</v>
      </c>
      <c r="BD343" s="12"/>
      <c r="BE343" s="12" t="s">
        <v>2291</v>
      </c>
      <c r="BF343" s="12"/>
      <c r="BG343" s="12"/>
      <c r="BH343" s="12"/>
      <c r="BI343" s="12" t="s">
        <v>3114</v>
      </c>
      <c r="BJ343" s="12"/>
      <c r="BK343" s="12"/>
      <c r="BL343" s="12" t="s">
        <v>2292</v>
      </c>
      <c r="BM343" s="12" t="s">
        <v>2292</v>
      </c>
      <c r="BN343" s="12" t="s">
        <v>2292</v>
      </c>
      <c r="BO343" s="12" t="s">
        <v>2292</v>
      </c>
      <c r="BP343" s="12" t="s">
        <v>3115</v>
      </c>
      <c r="BQ343" s="12"/>
      <c r="BR343" s="12"/>
      <c r="BS343" s="12"/>
      <c r="BT343" s="12" t="s">
        <v>3116</v>
      </c>
      <c r="BU343" s="12" t="s">
        <v>326</v>
      </c>
      <c r="BV343" s="12" t="s">
        <v>3117</v>
      </c>
      <c r="BW343" s="12" t="s">
        <v>1320</v>
      </c>
      <c r="BX343" s="12"/>
      <c r="BY343" s="13" t="s">
        <v>313</v>
      </c>
      <c r="BZ343" s="13" t="s">
        <v>6170</v>
      </c>
      <c r="CA343" s="13" t="s">
        <v>6170</v>
      </c>
      <c r="CB343" s="13" t="s">
        <v>312</v>
      </c>
      <c r="CC343" s="13"/>
      <c r="CD343" s="13" t="s">
        <v>6198</v>
      </c>
      <c r="CE343" s="13"/>
      <c r="CF343" s="13"/>
    </row>
    <row r="344" spans="1:84" ht="18.600000000000001" customHeight="1" x14ac:dyDescent="0.25">
      <c r="A344" s="60" t="s">
        <v>127</v>
      </c>
      <c r="B344" s="2" t="s">
        <v>3715</v>
      </c>
      <c r="C344" s="3" t="s">
        <v>3733</v>
      </c>
      <c r="D344" s="12" t="s">
        <v>3741</v>
      </c>
      <c r="E344" s="12" t="s">
        <v>3740</v>
      </c>
      <c r="F344" s="12" t="s">
        <v>3942</v>
      </c>
      <c r="G344" s="25">
        <v>170117</v>
      </c>
      <c r="H344" s="25">
        <v>149223</v>
      </c>
      <c r="I344" s="25">
        <v>9630</v>
      </c>
      <c r="J344" s="25">
        <v>4022</v>
      </c>
      <c r="K344" s="25">
        <v>181434</v>
      </c>
      <c r="L344" s="25">
        <v>48238</v>
      </c>
      <c r="M344" s="25">
        <v>229672</v>
      </c>
      <c r="N344" s="31">
        <v>0.79</v>
      </c>
      <c r="O344" s="25">
        <v>7717</v>
      </c>
      <c r="P344" s="25">
        <v>0</v>
      </c>
      <c r="Q344" s="25">
        <v>5263</v>
      </c>
      <c r="R344" s="25">
        <v>153</v>
      </c>
      <c r="S344" s="25">
        <v>956</v>
      </c>
      <c r="T344" s="25">
        <v>514</v>
      </c>
      <c r="U344" s="61">
        <v>356</v>
      </c>
      <c r="V344" s="58">
        <v>1.24E-2</v>
      </c>
      <c r="W344" s="33">
        <v>1.18E-2</v>
      </c>
      <c r="X344" s="33">
        <v>1.2E-2</v>
      </c>
      <c r="Y344" s="33">
        <v>1.41E-2</v>
      </c>
      <c r="Z344" s="33">
        <v>2.6200000000000001E-2</v>
      </c>
      <c r="AA344" s="33">
        <v>5.1999999999999998E-3</v>
      </c>
      <c r="AB344" s="25">
        <v>213</v>
      </c>
      <c r="AC344" s="25">
        <v>173</v>
      </c>
      <c r="AD344" s="25">
        <v>14</v>
      </c>
      <c r="AE344" s="25">
        <v>10</v>
      </c>
      <c r="AF344" s="25">
        <v>11</v>
      </c>
      <c r="AG344" s="25">
        <v>1</v>
      </c>
      <c r="AH344" s="25">
        <v>4</v>
      </c>
      <c r="AI344" s="12">
        <v>0.49</v>
      </c>
      <c r="AJ344" s="25">
        <v>65452</v>
      </c>
      <c r="AK344" s="25">
        <v>4487</v>
      </c>
      <c r="AL344" s="33">
        <v>7.3599999999999999E-2</v>
      </c>
      <c r="AM344" s="3" t="s">
        <v>3733</v>
      </c>
      <c r="AN344" s="12" t="s">
        <v>3740</v>
      </c>
      <c r="AO344" s="12" t="s">
        <v>3740</v>
      </c>
      <c r="AP344" s="12" t="str">
        <f>"633028036739134"</f>
        <v>633028036739134</v>
      </c>
      <c r="AQ344" s="12" t="s">
        <v>3741</v>
      </c>
      <c r="AR344" s="12" t="s">
        <v>3742</v>
      </c>
      <c r="AS344" s="12" t="s">
        <v>3743</v>
      </c>
      <c r="AT344" s="12"/>
      <c r="AU344" s="12" t="s">
        <v>309</v>
      </c>
      <c r="AV344" s="12"/>
      <c r="AW344" s="12"/>
      <c r="AX344" s="12">
        <v>0</v>
      </c>
      <c r="AY344" s="12">
        <v>217</v>
      </c>
      <c r="AZ344" s="12">
        <v>0</v>
      </c>
      <c r="BA344" s="12" t="s">
        <v>3744</v>
      </c>
      <c r="BB344" s="12"/>
      <c r="BC344" s="12" t="s">
        <v>6299</v>
      </c>
      <c r="BD344" s="12" t="s">
        <v>3745</v>
      </c>
      <c r="BE344" s="12" t="s">
        <v>2291</v>
      </c>
      <c r="BF344" s="12"/>
      <c r="BG344" s="12"/>
      <c r="BH344" s="12"/>
      <c r="BI344" s="12"/>
      <c r="BJ344" s="12"/>
      <c r="BK344" s="12"/>
      <c r="BL344" s="12" t="s">
        <v>2292</v>
      </c>
      <c r="BM344" s="12" t="s">
        <v>2292</v>
      </c>
      <c r="BN344" s="12" t="s">
        <v>2292</v>
      </c>
      <c r="BO344" s="12" t="s">
        <v>2291</v>
      </c>
      <c r="BP344" s="12"/>
      <c r="BQ344" s="12"/>
      <c r="BR344" s="12"/>
      <c r="BS344" s="12"/>
      <c r="BT344" s="12"/>
      <c r="BU344" s="12"/>
      <c r="BV344" s="12"/>
      <c r="BW344" s="12"/>
      <c r="BX344" s="12"/>
      <c r="BY344" s="13" t="s">
        <v>313</v>
      </c>
      <c r="BZ344" s="13" t="s">
        <v>6172</v>
      </c>
      <c r="CA344" s="13" t="s">
        <v>6170</v>
      </c>
      <c r="CB344" s="13" t="s">
        <v>312</v>
      </c>
      <c r="CC344" s="13"/>
      <c r="CD344" s="13" t="s">
        <v>6198</v>
      </c>
      <c r="CE344" s="13"/>
      <c r="CF344" s="13"/>
    </row>
    <row r="345" spans="1:84" ht="18.600000000000001" customHeight="1" x14ac:dyDescent="0.25">
      <c r="A345" s="60" t="s">
        <v>127</v>
      </c>
      <c r="B345" s="2" t="s">
        <v>315</v>
      </c>
      <c r="C345" s="3" t="s">
        <v>3100</v>
      </c>
      <c r="D345" s="12" t="s">
        <v>1328</v>
      </c>
      <c r="E345" s="12" t="s">
        <v>1327</v>
      </c>
      <c r="F345" s="12" t="s">
        <v>4436</v>
      </c>
      <c r="G345" s="25">
        <v>124941</v>
      </c>
      <c r="H345" s="25">
        <v>74912</v>
      </c>
      <c r="I345" s="25">
        <v>27055</v>
      </c>
      <c r="J345" s="25">
        <v>7886</v>
      </c>
      <c r="K345" s="25">
        <v>1467715</v>
      </c>
      <c r="L345" s="25">
        <v>484995</v>
      </c>
      <c r="M345" s="25">
        <v>1952710</v>
      </c>
      <c r="N345" s="31">
        <v>0.75</v>
      </c>
      <c r="O345" s="25">
        <v>0</v>
      </c>
      <c r="P345" s="25">
        <v>0</v>
      </c>
      <c r="Q345" s="25">
        <v>4286</v>
      </c>
      <c r="R345" s="25">
        <v>316</v>
      </c>
      <c r="S345" s="25">
        <v>6293</v>
      </c>
      <c r="T345" s="25">
        <v>1196</v>
      </c>
      <c r="U345" s="61">
        <v>2997</v>
      </c>
      <c r="V345" s="58">
        <v>1.4E-3</v>
      </c>
      <c r="W345" s="33">
        <v>1.6999999999999999E-3</v>
      </c>
      <c r="X345" s="33">
        <v>8.9999999999999998E-4</v>
      </c>
      <c r="Y345" s="33">
        <v>3.3E-3</v>
      </c>
      <c r="Z345" s="33">
        <v>1.9E-3</v>
      </c>
      <c r="AA345" s="33">
        <v>2.9999999999999997E-4</v>
      </c>
      <c r="AB345" s="25">
        <v>566</v>
      </c>
      <c r="AC345" s="25">
        <v>221</v>
      </c>
      <c r="AD345" s="25">
        <v>106</v>
      </c>
      <c r="AE345" s="25">
        <v>12</v>
      </c>
      <c r="AF345" s="25">
        <v>139</v>
      </c>
      <c r="AG345" s="25">
        <v>0</v>
      </c>
      <c r="AH345" s="25">
        <v>88</v>
      </c>
      <c r="AI345" s="12">
        <v>1.29</v>
      </c>
      <c r="AJ345" s="25">
        <v>156190</v>
      </c>
      <c r="AK345" s="25">
        <v>2836</v>
      </c>
      <c r="AL345" s="33">
        <v>1.8499999999999999E-2</v>
      </c>
      <c r="AM345" s="3" t="s">
        <v>3100</v>
      </c>
      <c r="AN345" s="12" t="s">
        <v>1327</v>
      </c>
      <c r="AO345" s="12" t="s">
        <v>1327</v>
      </c>
      <c r="AP345" s="12" t="str">
        <f>"108807632571642"</f>
        <v>108807632571642</v>
      </c>
      <c r="AQ345" s="12" t="s">
        <v>1328</v>
      </c>
      <c r="AR345" s="12" t="s">
        <v>1329</v>
      </c>
      <c r="AS345" s="12" t="s">
        <v>1330</v>
      </c>
      <c r="AT345" s="12"/>
      <c r="AU345" s="12" t="s">
        <v>324</v>
      </c>
      <c r="AV345" s="12" t="s">
        <v>5731</v>
      </c>
      <c r="AW345" s="12"/>
      <c r="AX345" s="12">
        <v>7074</v>
      </c>
      <c r="AY345" s="12">
        <v>2138</v>
      </c>
      <c r="AZ345" s="12">
        <v>0</v>
      </c>
      <c r="BA345" s="12" t="s">
        <v>1331</v>
      </c>
      <c r="BB345" s="12" t="s">
        <v>7404</v>
      </c>
      <c r="BC345" s="12" t="s">
        <v>7405</v>
      </c>
      <c r="BD345" s="12"/>
      <c r="BE345" s="12" t="s">
        <v>2291</v>
      </c>
      <c r="BF345" s="12"/>
      <c r="BG345" s="12"/>
      <c r="BH345" s="12"/>
      <c r="BI345" s="12" t="s">
        <v>3101</v>
      </c>
      <c r="BJ345" s="12" t="s">
        <v>3702</v>
      </c>
      <c r="BK345" s="12"/>
      <c r="BL345" s="12" t="s">
        <v>2292</v>
      </c>
      <c r="BM345" s="12" t="s">
        <v>2292</v>
      </c>
      <c r="BN345" s="12" t="s">
        <v>2292</v>
      </c>
      <c r="BO345" s="12" t="s">
        <v>2291</v>
      </c>
      <c r="BP345" s="12" t="s">
        <v>3703</v>
      </c>
      <c r="BQ345" s="12"/>
      <c r="BR345" s="12"/>
      <c r="BS345" s="12"/>
      <c r="BT345" s="12"/>
      <c r="BU345" s="12" t="s">
        <v>326</v>
      </c>
      <c r="BV345" s="12"/>
      <c r="BW345" s="12" t="s">
        <v>3031</v>
      </c>
      <c r="BX345" s="12"/>
      <c r="BY345" s="13" t="s">
        <v>313</v>
      </c>
      <c r="BZ345" s="13" t="s">
        <v>312</v>
      </c>
      <c r="CA345" s="13"/>
      <c r="CB345" s="13"/>
      <c r="CC345" s="13"/>
      <c r="CD345" s="13"/>
      <c r="CE345" s="13"/>
      <c r="CF345" s="13"/>
    </row>
    <row r="346" spans="1:84" ht="18.600000000000001" customHeight="1" x14ac:dyDescent="0.25">
      <c r="A346" s="60" t="s">
        <v>127</v>
      </c>
      <c r="B346" s="2" t="s">
        <v>335</v>
      </c>
      <c r="C346" s="3" t="s">
        <v>2731</v>
      </c>
      <c r="D346" s="12" t="s">
        <v>1332</v>
      </c>
      <c r="E346" s="12"/>
      <c r="F346" s="12" t="s">
        <v>4472</v>
      </c>
      <c r="G346" s="25">
        <v>3798</v>
      </c>
      <c r="H346" s="25">
        <v>3243</v>
      </c>
      <c r="I346" s="25">
        <v>107</v>
      </c>
      <c r="J346" s="25">
        <v>367</v>
      </c>
      <c r="K346" s="25">
        <v>22531</v>
      </c>
      <c r="L346" s="25">
        <v>16624</v>
      </c>
      <c r="M346" s="25">
        <v>39155</v>
      </c>
      <c r="N346" s="31">
        <v>0.57999999999999996</v>
      </c>
      <c r="O346" s="25">
        <v>3673</v>
      </c>
      <c r="P346" s="25">
        <v>0</v>
      </c>
      <c r="Q346" s="25">
        <v>70</v>
      </c>
      <c r="R346" s="25">
        <v>2</v>
      </c>
      <c r="S346" s="25">
        <v>5</v>
      </c>
      <c r="T346" s="25">
        <v>0</v>
      </c>
      <c r="U346" s="61">
        <v>4</v>
      </c>
      <c r="V346" s="58">
        <v>5.1000000000000004E-3</v>
      </c>
      <c r="W346" s="33">
        <v>4.4999999999999997E-3</v>
      </c>
      <c r="X346" s="33">
        <v>3.8999999999999998E-3</v>
      </c>
      <c r="Y346" s="12" t="s">
        <v>3926</v>
      </c>
      <c r="Z346" s="33">
        <v>9.7000000000000003E-3</v>
      </c>
      <c r="AA346" s="33">
        <v>1.5E-3</v>
      </c>
      <c r="AB346" s="25">
        <v>155</v>
      </c>
      <c r="AC346" s="25">
        <v>117</v>
      </c>
      <c r="AD346" s="25">
        <v>12</v>
      </c>
      <c r="AE346" s="25">
        <v>0</v>
      </c>
      <c r="AF346" s="25">
        <v>19</v>
      </c>
      <c r="AG346" s="25">
        <v>6</v>
      </c>
      <c r="AH346" s="25">
        <v>1</v>
      </c>
      <c r="AI346" s="12">
        <v>0.35</v>
      </c>
      <c r="AJ346" s="25">
        <v>5089</v>
      </c>
      <c r="AK346" s="25">
        <v>851</v>
      </c>
      <c r="AL346" s="33">
        <v>0.20080000000000001</v>
      </c>
      <c r="AM346" s="3" t="s">
        <v>2731</v>
      </c>
      <c r="AN346" s="12" t="s">
        <v>5374</v>
      </c>
      <c r="AO346" s="12"/>
      <c r="AP346" s="12" t="str">
        <f>"506453726037312"</f>
        <v>506453726037312</v>
      </c>
      <c r="AQ346" s="12" t="s">
        <v>1332</v>
      </c>
      <c r="AR346" s="12" t="s">
        <v>1333</v>
      </c>
      <c r="AS346" s="12" t="s">
        <v>1334</v>
      </c>
      <c r="AT346" s="12"/>
      <c r="AU346" s="12" t="s">
        <v>324</v>
      </c>
      <c r="AV346" s="12" t="s">
        <v>5908</v>
      </c>
      <c r="AW346" s="12"/>
      <c r="AX346" s="12">
        <v>509</v>
      </c>
      <c r="AY346" s="12">
        <v>44</v>
      </c>
      <c r="AZ346" s="12">
        <v>509</v>
      </c>
      <c r="BA346" s="12" t="s">
        <v>1335</v>
      </c>
      <c r="BB346" s="12" t="s">
        <v>6886</v>
      </c>
      <c r="BC346" s="12" t="s">
        <v>6887</v>
      </c>
      <c r="BD346" s="12"/>
      <c r="BE346" s="12" t="s">
        <v>2291</v>
      </c>
      <c r="BF346" s="12"/>
      <c r="BG346" s="12"/>
      <c r="BH346" s="12"/>
      <c r="BI346" s="12" t="s">
        <v>2732</v>
      </c>
      <c r="BJ346" s="12" t="s">
        <v>2733</v>
      </c>
      <c r="BK346" s="12" t="s">
        <v>6393</v>
      </c>
      <c r="BL346" s="12" t="s">
        <v>2292</v>
      </c>
      <c r="BM346" s="12" t="s">
        <v>2292</v>
      </c>
      <c r="BN346" s="12" t="s">
        <v>2292</v>
      </c>
      <c r="BO346" s="12" t="s">
        <v>2292</v>
      </c>
      <c r="BP346" s="12"/>
      <c r="BQ346" s="12"/>
      <c r="BR346" s="12"/>
      <c r="BS346" s="12"/>
      <c r="BT346" s="12" t="s">
        <v>2734</v>
      </c>
      <c r="BU346" s="12" t="s">
        <v>326</v>
      </c>
      <c r="BV346" s="12"/>
      <c r="BW346" s="12" t="s">
        <v>1336</v>
      </c>
      <c r="BX346" s="12"/>
      <c r="BY346" s="13" t="s">
        <v>313</v>
      </c>
      <c r="BZ346" s="13" t="s">
        <v>6170</v>
      </c>
      <c r="CA346" s="13" t="s">
        <v>6170</v>
      </c>
      <c r="CB346" s="13" t="s">
        <v>312</v>
      </c>
      <c r="CC346" s="13"/>
      <c r="CD346" s="13" t="s">
        <v>6198</v>
      </c>
      <c r="CE346" s="13"/>
      <c r="CF346" s="13"/>
    </row>
    <row r="347" spans="1:84" ht="18.600000000000001" customHeight="1" x14ac:dyDescent="0.25">
      <c r="A347" s="60" t="s">
        <v>128</v>
      </c>
      <c r="B347" s="2" t="s">
        <v>1342</v>
      </c>
      <c r="C347" s="3" t="s">
        <v>2815</v>
      </c>
      <c r="D347" s="12" t="s">
        <v>1338</v>
      </c>
      <c r="E347" s="12" t="s">
        <v>1337</v>
      </c>
      <c r="F347" s="12" t="s">
        <v>4242</v>
      </c>
      <c r="G347" s="25">
        <v>269178</v>
      </c>
      <c r="H347" s="25">
        <v>220770</v>
      </c>
      <c r="I347" s="25">
        <v>15582</v>
      </c>
      <c r="J347" s="25">
        <v>11908</v>
      </c>
      <c r="K347" s="25">
        <v>1569793</v>
      </c>
      <c r="L347" s="25">
        <v>299511</v>
      </c>
      <c r="M347" s="25">
        <v>1869304</v>
      </c>
      <c r="N347" s="31">
        <v>0.84</v>
      </c>
      <c r="O347" s="25">
        <v>17079</v>
      </c>
      <c r="P347" s="25">
        <v>58796</v>
      </c>
      <c r="Q347" s="25">
        <v>15800</v>
      </c>
      <c r="R347" s="25">
        <v>437</v>
      </c>
      <c r="S347" s="25">
        <v>1336</v>
      </c>
      <c r="T347" s="25">
        <v>2551</v>
      </c>
      <c r="U347" s="61">
        <v>791</v>
      </c>
      <c r="V347" s="58">
        <v>2.7400000000000001E-2</v>
      </c>
      <c r="W347" s="33">
        <v>2.8500000000000001E-2</v>
      </c>
      <c r="X347" s="33">
        <v>8.6E-3</v>
      </c>
      <c r="Y347" s="33">
        <v>1.1599999999999999E-2</v>
      </c>
      <c r="Z347" s="33">
        <v>2.7400000000000001E-2</v>
      </c>
      <c r="AA347" s="12" t="s">
        <v>3926</v>
      </c>
      <c r="AB347" s="25">
        <v>270</v>
      </c>
      <c r="AC347" s="25">
        <v>178</v>
      </c>
      <c r="AD347" s="25">
        <v>3</v>
      </c>
      <c r="AE347" s="25">
        <v>10</v>
      </c>
      <c r="AF347" s="25">
        <v>74</v>
      </c>
      <c r="AG347" s="25">
        <v>5</v>
      </c>
      <c r="AH347" s="25">
        <v>0</v>
      </c>
      <c r="AI347" s="12">
        <v>0.62</v>
      </c>
      <c r="AJ347" s="25">
        <v>42336</v>
      </c>
      <c r="AK347" s="25">
        <v>10510</v>
      </c>
      <c r="AL347" s="33">
        <v>0.33019999999999999</v>
      </c>
      <c r="AM347" s="3" t="s">
        <v>2815</v>
      </c>
      <c r="AN347" s="12" t="s">
        <v>1337</v>
      </c>
      <c r="AO347" s="12" t="s">
        <v>1337</v>
      </c>
      <c r="AP347" s="12" t="str">
        <f>"107765889287008"</f>
        <v>107765889287008</v>
      </c>
      <c r="AQ347" s="12" t="s">
        <v>1338</v>
      </c>
      <c r="AR347" s="12" t="s">
        <v>5943</v>
      </c>
      <c r="AS347" s="12" t="s">
        <v>1339</v>
      </c>
      <c r="AT347" s="12" t="s">
        <v>2816</v>
      </c>
      <c r="AU347" s="12" t="s">
        <v>309</v>
      </c>
      <c r="AV347" s="12"/>
      <c r="AW347" s="12"/>
      <c r="AX347" s="12">
        <v>0</v>
      </c>
      <c r="AY347" s="12">
        <v>1335</v>
      </c>
      <c r="AZ347" s="12">
        <v>0</v>
      </c>
      <c r="BA347" s="12" t="s">
        <v>1340</v>
      </c>
      <c r="BB347" s="12" t="s">
        <v>5944</v>
      </c>
      <c r="BC347" s="12" t="s">
        <v>6980</v>
      </c>
      <c r="BD347" s="12" t="s">
        <v>1341</v>
      </c>
      <c r="BE347" s="12" t="s">
        <v>2291</v>
      </c>
      <c r="BF347" s="12"/>
      <c r="BG347" s="12"/>
      <c r="BH347" s="12"/>
      <c r="BI347" s="12" t="s">
        <v>5393</v>
      </c>
      <c r="BJ347" s="12"/>
      <c r="BK347" s="12"/>
      <c r="BL347" s="12" t="s">
        <v>2292</v>
      </c>
      <c r="BM347" s="12" t="s">
        <v>2292</v>
      </c>
      <c r="BN347" s="12" t="s">
        <v>2292</v>
      </c>
      <c r="BO347" s="12" t="s">
        <v>2291</v>
      </c>
      <c r="BP347" s="12"/>
      <c r="BQ347" s="12"/>
      <c r="BR347" s="12"/>
      <c r="BS347" s="12"/>
      <c r="BT347" s="12"/>
      <c r="BU347" s="12"/>
      <c r="BV347" s="12"/>
      <c r="BW347" s="12" t="s">
        <v>5394</v>
      </c>
      <c r="BX347" s="12"/>
      <c r="BY347" s="13" t="s">
        <v>313</v>
      </c>
      <c r="BZ347" s="13" t="s">
        <v>6170</v>
      </c>
      <c r="CA347" s="13" t="s">
        <v>6170</v>
      </c>
      <c r="CB347" s="13" t="s">
        <v>6200</v>
      </c>
      <c r="CC347" s="13"/>
      <c r="CD347" s="13" t="s">
        <v>6198</v>
      </c>
      <c r="CE347" s="13"/>
      <c r="CF347" s="13"/>
    </row>
    <row r="348" spans="1:84" ht="18.600000000000001" customHeight="1" x14ac:dyDescent="0.25">
      <c r="A348" s="60" t="s">
        <v>128</v>
      </c>
      <c r="B348" s="2" t="s">
        <v>335</v>
      </c>
      <c r="C348" s="3" t="s">
        <v>2411</v>
      </c>
      <c r="D348" s="12" t="s">
        <v>1343</v>
      </c>
      <c r="E348" s="12" t="s">
        <v>129</v>
      </c>
      <c r="F348" s="12" t="s">
        <v>4000</v>
      </c>
      <c r="G348" s="25">
        <v>8761</v>
      </c>
      <c r="H348" s="25">
        <v>6905</v>
      </c>
      <c r="I348" s="25">
        <v>284</v>
      </c>
      <c r="J348" s="25">
        <v>1307</v>
      </c>
      <c r="K348" s="25">
        <v>5324</v>
      </c>
      <c r="L348" s="25">
        <v>7627</v>
      </c>
      <c r="M348" s="25">
        <v>12951</v>
      </c>
      <c r="N348" s="31">
        <v>0.41</v>
      </c>
      <c r="O348" s="25">
        <v>1314</v>
      </c>
      <c r="P348" s="25">
        <v>0</v>
      </c>
      <c r="Q348" s="25">
        <v>212</v>
      </c>
      <c r="R348" s="25">
        <v>20</v>
      </c>
      <c r="S348" s="25">
        <v>2</v>
      </c>
      <c r="T348" s="25">
        <v>29</v>
      </c>
      <c r="U348" s="61">
        <v>2</v>
      </c>
      <c r="V348" s="58">
        <v>9.7999999999999997E-3</v>
      </c>
      <c r="W348" s="33">
        <v>1.1900000000000001E-2</v>
      </c>
      <c r="X348" s="33">
        <v>4.4000000000000003E-3</v>
      </c>
      <c r="Y348" s="33">
        <v>5.0000000000000001E-3</v>
      </c>
      <c r="Z348" s="33">
        <v>3.5099999999999999E-2</v>
      </c>
      <c r="AA348" s="33">
        <v>1.14E-2</v>
      </c>
      <c r="AB348" s="25">
        <v>281</v>
      </c>
      <c r="AC348" s="25">
        <v>160</v>
      </c>
      <c r="AD348" s="25">
        <v>63</v>
      </c>
      <c r="AE348" s="25">
        <v>46</v>
      </c>
      <c r="AF348" s="25">
        <v>6</v>
      </c>
      <c r="AG348" s="25">
        <v>3</v>
      </c>
      <c r="AH348" s="25">
        <v>3</v>
      </c>
      <c r="AI348" s="12">
        <v>0.64</v>
      </c>
      <c r="AJ348" s="25">
        <v>3641</v>
      </c>
      <c r="AK348" s="25">
        <v>899</v>
      </c>
      <c r="AL348" s="33">
        <v>0.32790000000000002</v>
      </c>
      <c r="AM348" s="3" t="s">
        <v>2411</v>
      </c>
      <c r="AN348" s="12" t="s">
        <v>129</v>
      </c>
      <c r="AO348" s="12" t="s">
        <v>129</v>
      </c>
      <c r="AP348" s="12" t="str">
        <f>"381131031998248"</f>
        <v>381131031998248</v>
      </c>
      <c r="AQ348" s="12" t="s">
        <v>1343</v>
      </c>
      <c r="AR348" s="12" t="s">
        <v>1344</v>
      </c>
      <c r="AS348" s="12" t="s">
        <v>2412</v>
      </c>
      <c r="AT348" s="12"/>
      <c r="AU348" s="12" t="s">
        <v>324</v>
      </c>
      <c r="AV348" s="12" t="s">
        <v>5731</v>
      </c>
      <c r="AW348" s="12"/>
      <c r="AX348" s="12">
        <v>133</v>
      </c>
      <c r="AY348" s="12">
        <v>238</v>
      </c>
      <c r="AZ348" s="12">
        <v>0</v>
      </c>
      <c r="BA348" s="12" t="s">
        <v>1345</v>
      </c>
      <c r="BB348" s="12" t="s">
        <v>6433</v>
      </c>
      <c r="BC348" s="12" t="s">
        <v>6434</v>
      </c>
      <c r="BD348" s="12"/>
      <c r="BE348" s="12" t="s">
        <v>2291</v>
      </c>
      <c r="BF348" s="12"/>
      <c r="BG348" s="12"/>
      <c r="BH348" s="12"/>
      <c r="BI348" s="12" t="s">
        <v>2413</v>
      </c>
      <c r="BJ348" s="12" t="s">
        <v>2414</v>
      </c>
      <c r="BK348" s="12"/>
      <c r="BL348" s="12" t="s">
        <v>2292</v>
      </c>
      <c r="BM348" s="12" t="s">
        <v>2292</v>
      </c>
      <c r="BN348" s="12" t="s">
        <v>2292</v>
      </c>
      <c r="BO348" s="12" t="s">
        <v>2291</v>
      </c>
      <c r="BP348" s="12"/>
      <c r="BQ348" s="12"/>
      <c r="BR348" s="12"/>
      <c r="BS348" s="12"/>
      <c r="BT348" s="12">
        <v>22651000</v>
      </c>
      <c r="BU348" s="12" t="s">
        <v>326</v>
      </c>
      <c r="BV348" s="12"/>
      <c r="BW348" s="12" t="s">
        <v>1346</v>
      </c>
      <c r="BX348" s="12"/>
      <c r="BY348" s="13" t="s">
        <v>313</v>
      </c>
      <c r="BZ348" s="13" t="s">
        <v>6170</v>
      </c>
      <c r="CA348" s="13" t="s">
        <v>6170</v>
      </c>
      <c r="CB348" s="13" t="s">
        <v>6197</v>
      </c>
      <c r="CC348" s="13"/>
      <c r="CD348" s="13" t="s">
        <v>6198</v>
      </c>
      <c r="CE348" s="13"/>
      <c r="CF348" s="13" t="s">
        <v>6178</v>
      </c>
    </row>
    <row r="349" spans="1:84" ht="18.600000000000001" customHeight="1" x14ac:dyDescent="0.25">
      <c r="A349" s="60" t="s">
        <v>3311</v>
      </c>
      <c r="B349" s="2" t="s">
        <v>1352</v>
      </c>
      <c r="C349" s="3" t="s">
        <v>2922</v>
      </c>
      <c r="D349" s="12" t="s">
        <v>1348</v>
      </c>
      <c r="E349" s="12" t="s">
        <v>1347</v>
      </c>
      <c r="F349" s="3" t="s">
        <v>4319</v>
      </c>
      <c r="G349" s="25">
        <v>550936</v>
      </c>
      <c r="H349" s="25">
        <v>386042</v>
      </c>
      <c r="I349" s="25">
        <v>48107</v>
      </c>
      <c r="J349" s="25">
        <v>37937</v>
      </c>
      <c r="K349" s="25">
        <v>2104532</v>
      </c>
      <c r="L349" s="25">
        <v>1075484</v>
      </c>
      <c r="M349" s="25">
        <v>3180016</v>
      </c>
      <c r="N349" s="31">
        <v>0.66</v>
      </c>
      <c r="O349" s="25">
        <v>9710</v>
      </c>
      <c r="P349" s="25">
        <v>573284</v>
      </c>
      <c r="Q349" s="25">
        <v>61858</v>
      </c>
      <c r="R349" s="25">
        <v>9818</v>
      </c>
      <c r="S349" s="25">
        <v>3180</v>
      </c>
      <c r="T349" s="25">
        <v>1007</v>
      </c>
      <c r="U349" s="61">
        <v>2983</v>
      </c>
      <c r="V349" s="58">
        <v>1.11E-2</v>
      </c>
      <c r="W349" s="33">
        <v>1.35E-2</v>
      </c>
      <c r="X349" s="33">
        <v>2.1899999999999999E-2</v>
      </c>
      <c r="Y349" s="33">
        <v>7.1000000000000004E-3</v>
      </c>
      <c r="Z349" s="33">
        <v>7.4000000000000003E-3</v>
      </c>
      <c r="AA349" s="12" t="s">
        <v>3926</v>
      </c>
      <c r="AB349" s="25">
        <v>508</v>
      </c>
      <c r="AC349" s="25">
        <v>283</v>
      </c>
      <c r="AD349" s="25">
        <v>3</v>
      </c>
      <c r="AE349" s="25">
        <v>39</v>
      </c>
      <c r="AF349" s="25">
        <v>182</v>
      </c>
      <c r="AG349" s="25">
        <v>1</v>
      </c>
      <c r="AH349" s="25">
        <v>0</v>
      </c>
      <c r="AI349" s="12">
        <v>1.1599999999999999</v>
      </c>
      <c r="AJ349" s="25">
        <v>114801</v>
      </c>
      <c r="AK349" s="25">
        <v>28272</v>
      </c>
      <c r="AL349" s="33">
        <v>0.32669999999999999</v>
      </c>
      <c r="AM349" s="3" t="s">
        <v>2922</v>
      </c>
      <c r="AN349" s="12" t="s">
        <v>1347</v>
      </c>
      <c r="AO349" s="12" t="s">
        <v>1347</v>
      </c>
      <c r="AP349" s="12" t="str">
        <f>"417747541641010"</f>
        <v>417747541641010</v>
      </c>
      <c r="AQ349" s="12" t="s">
        <v>1348</v>
      </c>
      <c r="AR349" s="12" t="s">
        <v>1349</v>
      </c>
      <c r="AS349" s="12" t="s">
        <v>2923</v>
      </c>
      <c r="AT349" s="12" t="s">
        <v>2924</v>
      </c>
      <c r="AU349" s="12" t="s">
        <v>309</v>
      </c>
      <c r="AV349" s="12"/>
      <c r="AW349" s="12"/>
      <c r="AX349" s="12">
        <v>0</v>
      </c>
      <c r="AY349" s="12">
        <v>12463</v>
      </c>
      <c r="AZ349" s="12">
        <v>0</v>
      </c>
      <c r="BA349" s="12" t="s">
        <v>1350</v>
      </c>
      <c r="BB349" s="12" t="s">
        <v>5991</v>
      </c>
      <c r="BC349" s="12" t="s">
        <v>7145</v>
      </c>
      <c r="BD349" s="12"/>
      <c r="BE349" s="12" t="s">
        <v>2291</v>
      </c>
      <c r="BF349" s="12"/>
      <c r="BG349" s="12"/>
      <c r="BH349" s="12"/>
      <c r="BI349" s="12"/>
      <c r="BJ349" s="12"/>
      <c r="BK349" s="12"/>
      <c r="BL349" s="12" t="s">
        <v>2292</v>
      </c>
      <c r="BM349" s="12" t="s">
        <v>2292</v>
      </c>
      <c r="BN349" s="12" t="s">
        <v>2292</v>
      </c>
      <c r="BO349" s="12" t="s">
        <v>2291</v>
      </c>
      <c r="BP349" s="12"/>
      <c r="BQ349" s="12"/>
      <c r="BR349" s="12"/>
      <c r="BS349" s="12"/>
      <c r="BT349" s="12"/>
      <c r="BU349" s="12"/>
      <c r="BV349" s="12"/>
      <c r="BW349" s="12" t="s">
        <v>1351</v>
      </c>
      <c r="BX349" s="12"/>
      <c r="BY349" s="13" t="s">
        <v>313</v>
      </c>
      <c r="BZ349" s="13" t="s">
        <v>312</v>
      </c>
      <c r="CA349" s="13"/>
      <c r="CB349" s="13"/>
      <c r="CC349" s="13"/>
      <c r="CD349" s="13"/>
      <c r="CE349" s="13"/>
      <c r="CF349" s="13"/>
    </row>
    <row r="350" spans="1:84" ht="18.600000000000001" customHeight="1" x14ac:dyDescent="0.25">
      <c r="A350" s="60" t="s">
        <v>3311</v>
      </c>
      <c r="B350" s="2" t="s">
        <v>315</v>
      </c>
      <c r="C350" s="3" t="s">
        <v>3056</v>
      </c>
      <c r="D350" s="12" t="s">
        <v>1353</v>
      </c>
      <c r="E350" s="12" t="s">
        <v>1354</v>
      </c>
      <c r="F350" s="12" t="s">
        <v>4401</v>
      </c>
      <c r="G350" s="25">
        <v>5228</v>
      </c>
      <c r="H350" s="25">
        <v>2545</v>
      </c>
      <c r="I350" s="25">
        <v>1136</v>
      </c>
      <c r="J350" s="25">
        <v>686</v>
      </c>
      <c r="K350" s="25">
        <v>33554</v>
      </c>
      <c r="L350" s="25">
        <v>29949</v>
      </c>
      <c r="M350" s="25">
        <v>63503</v>
      </c>
      <c r="N350" s="31">
        <v>0.53</v>
      </c>
      <c r="O350" s="25">
        <v>0</v>
      </c>
      <c r="P350" s="25">
        <v>6057</v>
      </c>
      <c r="Q350" s="25">
        <v>276</v>
      </c>
      <c r="R350" s="25">
        <v>35</v>
      </c>
      <c r="S350" s="25">
        <v>327</v>
      </c>
      <c r="T350" s="25">
        <v>10</v>
      </c>
      <c r="U350" s="61">
        <v>213</v>
      </c>
      <c r="V350" s="58">
        <v>2.5000000000000001E-3</v>
      </c>
      <c r="W350" s="33">
        <v>2.3E-3</v>
      </c>
      <c r="X350" s="33">
        <v>2.2000000000000001E-3</v>
      </c>
      <c r="Y350" s="12" t="s">
        <v>3926</v>
      </c>
      <c r="Z350" s="33">
        <v>4.5999999999999999E-3</v>
      </c>
      <c r="AA350" s="33">
        <v>2.5000000000000001E-3</v>
      </c>
      <c r="AB350" s="25">
        <v>286</v>
      </c>
      <c r="AC350" s="25">
        <v>53</v>
      </c>
      <c r="AD350" s="25">
        <v>200</v>
      </c>
      <c r="AE350" s="25">
        <v>0</v>
      </c>
      <c r="AF350" s="25">
        <v>32</v>
      </c>
      <c r="AG350" s="25">
        <v>0</v>
      </c>
      <c r="AH350" s="25">
        <v>1</v>
      </c>
      <c r="AI350" s="12">
        <v>0.65</v>
      </c>
      <c r="AJ350" s="25">
        <v>7694</v>
      </c>
      <c r="AK350" s="25">
        <v>803</v>
      </c>
      <c r="AL350" s="33">
        <v>0.11650000000000001</v>
      </c>
      <c r="AM350" s="3" t="s">
        <v>3056</v>
      </c>
      <c r="AN350" s="12" t="s">
        <v>1354</v>
      </c>
      <c r="AO350" s="12" t="s">
        <v>1354</v>
      </c>
      <c r="AP350" s="12" t="str">
        <f>"295551360389"</f>
        <v>295551360389</v>
      </c>
      <c r="AQ350" s="12" t="s">
        <v>1353</v>
      </c>
      <c r="AR350" s="12" t="s">
        <v>4764</v>
      </c>
      <c r="AS350" s="12" t="s">
        <v>3057</v>
      </c>
      <c r="AT350" s="12"/>
      <c r="AU350" s="12" t="s">
        <v>324</v>
      </c>
      <c r="AV350" s="12" t="s">
        <v>5911</v>
      </c>
      <c r="AW350" s="12"/>
      <c r="AX350" s="12">
        <v>2366</v>
      </c>
      <c r="AY350" s="12">
        <v>533</v>
      </c>
      <c r="AZ350" s="12">
        <v>0</v>
      </c>
      <c r="BA350" s="12" t="s">
        <v>1355</v>
      </c>
      <c r="BB350" s="12" t="s">
        <v>7347</v>
      </c>
      <c r="BC350" s="12" t="s">
        <v>7348</v>
      </c>
      <c r="BD350" s="12"/>
      <c r="BE350" s="12" t="s">
        <v>2291</v>
      </c>
      <c r="BF350" s="12"/>
      <c r="BG350" s="12"/>
      <c r="BH350" s="12"/>
      <c r="BI350" s="12"/>
      <c r="BJ350" s="12"/>
      <c r="BK350" s="12"/>
      <c r="BL350" s="12" t="s">
        <v>2292</v>
      </c>
      <c r="BM350" s="12" t="s">
        <v>2292</v>
      </c>
      <c r="BN350" s="12" t="s">
        <v>2292</v>
      </c>
      <c r="BO350" s="12" t="s">
        <v>2292</v>
      </c>
      <c r="BP350" s="12"/>
      <c r="BQ350" s="12"/>
      <c r="BR350" s="12"/>
      <c r="BS350" s="12"/>
      <c r="BT350" s="12" t="s">
        <v>3058</v>
      </c>
      <c r="BU350" s="12" t="s">
        <v>326</v>
      </c>
      <c r="BV350" s="12"/>
      <c r="BW350" s="12" t="s">
        <v>4645</v>
      </c>
      <c r="BX350" s="12"/>
      <c r="BY350" s="13" t="s">
        <v>313</v>
      </c>
      <c r="BZ350" s="13" t="s">
        <v>312</v>
      </c>
      <c r="CA350" s="13"/>
      <c r="CB350" s="13"/>
      <c r="CC350" s="13"/>
      <c r="CD350" s="13"/>
      <c r="CE350" s="13"/>
      <c r="CF350" s="13"/>
    </row>
    <row r="351" spans="1:84" ht="18.600000000000001" customHeight="1" x14ac:dyDescent="0.25">
      <c r="A351" s="60" t="s">
        <v>3311</v>
      </c>
      <c r="B351" s="2" t="s">
        <v>335</v>
      </c>
      <c r="C351" s="3" t="s">
        <v>2805</v>
      </c>
      <c r="D351" s="12" t="s">
        <v>1356</v>
      </c>
      <c r="E351" s="12" t="s">
        <v>130</v>
      </c>
      <c r="F351" s="12" t="s">
        <v>4234</v>
      </c>
      <c r="G351" s="25">
        <v>14053</v>
      </c>
      <c r="H351" s="25">
        <v>11143</v>
      </c>
      <c r="I351" s="25">
        <v>557</v>
      </c>
      <c r="J351" s="25">
        <v>1432</v>
      </c>
      <c r="K351" s="25">
        <v>32068</v>
      </c>
      <c r="L351" s="25">
        <v>27478</v>
      </c>
      <c r="M351" s="25">
        <v>59546</v>
      </c>
      <c r="N351" s="31">
        <v>0.54</v>
      </c>
      <c r="O351" s="25">
        <v>12057</v>
      </c>
      <c r="P351" s="25">
        <v>433</v>
      </c>
      <c r="Q351" s="25">
        <v>612</v>
      </c>
      <c r="R351" s="25">
        <v>71</v>
      </c>
      <c r="S351" s="25">
        <v>74</v>
      </c>
      <c r="T351" s="25">
        <v>123</v>
      </c>
      <c r="U351" s="61">
        <v>40</v>
      </c>
      <c r="V351" s="58">
        <v>4.1999999999999997E-3</v>
      </c>
      <c r="W351" s="33">
        <v>3.2000000000000002E-3</v>
      </c>
      <c r="X351" s="33">
        <v>4.1999999999999997E-3</v>
      </c>
      <c r="Y351" s="33">
        <v>5.4999999999999997E-3</v>
      </c>
      <c r="Z351" s="33">
        <v>2.29E-2</v>
      </c>
      <c r="AA351" s="33">
        <v>1.6000000000000001E-3</v>
      </c>
      <c r="AB351" s="25">
        <v>539</v>
      </c>
      <c r="AC351" s="25">
        <v>213</v>
      </c>
      <c r="AD351" s="25">
        <v>283</v>
      </c>
      <c r="AE351" s="25">
        <v>14</v>
      </c>
      <c r="AF351" s="25">
        <v>9</v>
      </c>
      <c r="AG351" s="25">
        <v>13</v>
      </c>
      <c r="AH351" s="25">
        <v>7</v>
      </c>
      <c r="AI351" s="12">
        <v>1.23</v>
      </c>
      <c r="AJ351" s="25">
        <v>6870</v>
      </c>
      <c r="AK351" s="25">
        <v>1428</v>
      </c>
      <c r="AL351" s="33">
        <v>0.26240000000000002</v>
      </c>
      <c r="AM351" s="3" t="s">
        <v>2805</v>
      </c>
      <c r="AN351" s="12" t="s">
        <v>130</v>
      </c>
      <c r="AO351" s="12" t="s">
        <v>130</v>
      </c>
      <c r="AP351" s="12" t="str">
        <f>"199372236793399"</f>
        <v>199372236793399</v>
      </c>
      <c r="AQ351" s="12" t="s">
        <v>1356</v>
      </c>
      <c r="AR351" s="12" t="s">
        <v>5390</v>
      </c>
      <c r="AS351" s="12" t="s">
        <v>1357</v>
      </c>
      <c r="AT351" s="12"/>
      <c r="AU351" s="12" t="s">
        <v>324</v>
      </c>
      <c r="AV351" s="12" t="s">
        <v>5731</v>
      </c>
      <c r="AW351" s="12">
        <v>1918</v>
      </c>
      <c r="AX351" s="12">
        <v>551</v>
      </c>
      <c r="AY351" s="12">
        <v>344</v>
      </c>
      <c r="AZ351" s="12">
        <v>551</v>
      </c>
      <c r="BA351" s="12" t="s">
        <v>1358</v>
      </c>
      <c r="BB351" s="12" t="s">
        <v>6970</v>
      </c>
      <c r="BC351" s="12" t="s">
        <v>6971</v>
      </c>
      <c r="BD351" s="12"/>
      <c r="BE351" s="12" t="s">
        <v>2291</v>
      </c>
      <c r="BF351" s="12"/>
      <c r="BG351" s="12"/>
      <c r="BH351" s="12"/>
      <c r="BI351" s="12" t="s">
        <v>3244</v>
      </c>
      <c r="BJ351" s="12" t="s">
        <v>2806</v>
      </c>
      <c r="BK351" s="12"/>
      <c r="BL351" s="12" t="s">
        <v>2292</v>
      </c>
      <c r="BM351" s="12" t="s">
        <v>2292</v>
      </c>
      <c r="BN351" s="12" t="s">
        <v>2292</v>
      </c>
      <c r="BO351" s="12" t="s">
        <v>2292</v>
      </c>
      <c r="BP351" s="12" t="s">
        <v>2807</v>
      </c>
      <c r="BQ351" s="12"/>
      <c r="BR351" s="12"/>
      <c r="BS351" s="12"/>
      <c r="BT351" s="12" t="s">
        <v>2808</v>
      </c>
      <c r="BU351" s="12" t="s">
        <v>326</v>
      </c>
      <c r="BV351" s="12"/>
      <c r="BW351" s="12" t="s">
        <v>3798</v>
      </c>
      <c r="BX351" s="12"/>
      <c r="BY351" s="13" t="s">
        <v>313</v>
      </c>
      <c r="BZ351" s="13" t="s">
        <v>6173</v>
      </c>
      <c r="CA351" s="13" t="s">
        <v>6170</v>
      </c>
      <c r="CB351" s="13" t="s">
        <v>6199</v>
      </c>
      <c r="CC351" s="13"/>
      <c r="CD351" s="13" t="s">
        <v>6196</v>
      </c>
      <c r="CE351" s="13" t="s">
        <v>6175</v>
      </c>
      <c r="CF351" s="13"/>
    </row>
    <row r="352" spans="1:84" ht="18.600000000000001" customHeight="1" x14ac:dyDescent="0.25">
      <c r="A352" s="60" t="s">
        <v>131</v>
      </c>
      <c r="B352" s="2" t="s">
        <v>802</v>
      </c>
      <c r="C352" s="3" t="s">
        <v>5206</v>
      </c>
      <c r="D352" s="12" t="s">
        <v>5096</v>
      </c>
      <c r="E352" s="12" t="s">
        <v>5097</v>
      </c>
      <c r="F352" s="12" t="s">
        <v>5098</v>
      </c>
      <c r="G352" s="25">
        <v>1662033</v>
      </c>
      <c r="H352" s="25">
        <v>1276448</v>
      </c>
      <c r="I352" s="25">
        <v>103247</v>
      </c>
      <c r="J352" s="25">
        <v>75184</v>
      </c>
      <c r="K352" s="25">
        <v>11488863</v>
      </c>
      <c r="L352" s="25">
        <v>3491429</v>
      </c>
      <c r="M352" s="25">
        <v>14980292</v>
      </c>
      <c r="N352" s="31">
        <v>0.77</v>
      </c>
      <c r="O352" s="25">
        <v>0</v>
      </c>
      <c r="P352" s="25">
        <v>930284</v>
      </c>
      <c r="Q352" s="25">
        <v>119776</v>
      </c>
      <c r="R352" s="25">
        <v>7164</v>
      </c>
      <c r="S352" s="25">
        <v>1059</v>
      </c>
      <c r="T352" s="25">
        <v>78580</v>
      </c>
      <c r="U352" s="61">
        <v>561</v>
      </c>
      <c r="V352" s="58">
        <v>1.78E-2</v>
      </c>
      <c r="W352" s="33">
        <v>1.77E-2</v>
      </c>
      <c r="X352" s="33">
        <v>1.1299999999999999E-2</v>
      </c>
      <c r="Y352" s="12" t="s">
        <v>3926</v>
      </c>
      <c r="Z352" s="33">
        <v>1.9400000000000001E-2</v>
      </c>
      <c r="AA352" s="12" t="s">
        <v>3926</v>
      </c>
      <c r="AB352" s="25">
        <v>578</v>
      </c>
      <c r="AC352" s="25">
        <v>335</v>
      </c>
      <c r="AD352" s="25">
        <v>82</v>
      </c>
      <c r="AE352" s="25">
        <v>0</v>
      </c>
      <c r="AF352" s="25">
        <v>161</v>
      </c>
      <c r="AG352" s="25">
        <v>0</v>
      </c>
      <c r="AH352" s="25">
        <v>0</v>
      </c>
      <c r="AI352" s="12">
        <v>1.32</v>
      </c>
      <c r="AJ352" s="25">
        <v>205637</v>
      </c>
      <c r="AK352" s="25">
        <v>70176</v>
      </c>
      <c r="AL352" s="33">
        <v>0.5181</v>
      </c>
      <c r="AM352" s="3" t="s">
        <v>5206</v>
      </c>
      <c r="AN352" s="12" t="s">
        <v>5097</v>
      </c>
      <c r="AO352" s="12" t="s">
        <v>5097</v>
      </c>
      <c r="AP352" s="12" t="str">
        <f>"236903853314870"</f>
        <v>236903853314870</v>
      </c>
      <c r="AQ352" s="12" t="s">
        <v>5096</v>
      </c>
      <c r="AR352" s="12" t="s">
        <v>5259</v>
      </c>
      <c r="AS352" s="12"/>
      <c r="AT352" s="12"/>
      <c r="AU352" s="12" t="s">
        <v>319</v>
      </c>
      <c r="AV352" s="12"/>
      <c r="AW352" s="12"/>
      <c r="AX352" s="12">
        <v>0</v>
      </c>
      <c r="AY352" s="12">
        <v>6858</v>
      </c>
      <c r="AZ352" s="12">
        <v>0</v>
      </c>
      <c r="BA352" s="12" t="s">
        <v>5260</v>
      </c>
      <c r="BB352" s="12" t="s">
        <v>6444</v>
      </c>
      <c r="BC352" s="12" t="s">
        <v>6445</v>
      </c>
      <c r="BD352" s="12"/>
      <c r="BE352" s="12" t="s">
        <v>2291</v>
      </c>
      <c r="BF352" s="12"/>
      <c r="BG352" s="12"/>
      <c r="BH352" s="12"/>
      <c r="BI352" s="12" t="s">
        <v>5261</v>
      </c>
      <c r="BJ352" s="12"/>
      <c r="BK352" s="12"/>
      <c r="BL352" s="12" t="s">
        <v>2292</v>
      </c>
      <c r="BM352" s="12" t="s">
        <v>2292</v>
      </c>
      <c r="BN352" s="12" t="s">
        <v>2292</v>
      </c>
      <c r="BO352" s="12" t="s">
        <v>2291</v>
      </c>
      <c r="BP352" s="12"/>
      <c r="BQ352" s="12"/>
      <c r="BR352" s="12"/>
      <c r="BS352" s="12"/>
      <c r="BT352" s="12"/>
      <c r="BU352" s="12"/>
      <c r="BV352" s="12"/>
      <c r="BW352" s="12" t="s">
        <v>5262</v>
      </c>
      <c r="BX352" s="12"/>
      <c r="BY352" s="13" t="s">
        <v>313</v>
      </c>
      <c r="BZ352" s="13" t="s">
        <v>6172</v>
      </c>
      <c r="CA352" s="13"/>
      <c r="CB352" s="13"/>
      <c r="CC352" s="13"/>
      <c r="CD352" s="13"/>
      <c r="CE352" s="13"/>
      <c r="CF352" s="13" t="s">
        <v>6178</v>
      </c>
    </row>
    <row r="353" spans="1:84" ht="18.600000000000001" customHeight="1" x14ac:dyDescent="0.25">
      <c r="A353" s="60" t="s">
        <v>131</v>
      </c>
      <c r="B353" s="2" t="s">
        <v>1362</v>
      </c>
      <c r="C353" s="3" t="s">
        <v>2660</v>
      </c>
      <c r="D353" s="12" t="s">
        <v>1359</v>
      </c>
      <c r="E353" s="12" t="s">
        <v>132</v>
      </c>
      <c r="F353" s="12" t="s">
        <v>4148</v>
      </c>
      <c r="G353" s="25">
        <v>591596</v>
      </c>
      <c r="H353" s="25">
        <v>486466</v>
      </c>
      <c r="I353" s="25">
        <v>49554</v>
      </c>
      <c r="J353" s="25">
        <v>15650</v>
      </c>
      <c r="K353" s="25">
        <v>4977364</v>
      </c>
      <c r="L353" s="25">
        <v>465206</v>
      </c>
      <c r="M353" s="25">
        <v>5442570</v>
      </c>
      <c r="N353" s="31">
        <v>0.91</v>
      </c>
      <c r="O353" s="25">
        <v>142022</v>
      </c>
      <c r="P353" s="25">
        <v>357378</v>
      </c>
      <c r="Q353" s="25">
        <v>16958</v>
      </c>
      <c r="R353" s="25">
        <v>2760</v>
      </c>
      <c r="S353" s="25">
        <v>4399</v>
      </c>
      <c r="T353" s="25">
        <v>10281</v>
      </c>
      <c r="U353" s="61">
        <v>5527</v>
      </c>
      <c r="V353" s="58">
        <v>7.9000000000000008E-3</v>
      </c>
      <c r="W353" s="33">
        <v>8.6E-3</v>
      </c>
      <c r="X353" s="33">
        <v>7.6E-3</v>
      </c>
      <c r="Y353" s="33">
        <v>7.7999999999999996E-3</v>
      </c>
      <c r="Z353" s="33">
        <v>7.7999999999999996E-3</v>
      </c>
      <c r="AA353" s="33">
        <v>4.1000000000000003E-3</v>
      </c>
      <c r="AB353" s="25">
        <v>368</v>
      </c>
      <c r="AC353" s="25">
        <v>144</v>
      </c>
      <c r="AD353" s="25">
        <v>48</v>
      </c>
      <c r="AE353" s="25">
        <v>53</v>
      </c>
      <c r="AF353" s="25">
        <v>113</v>
      </c>
      <c r="AG353" s="25">
        <v>7</v>
      </c>
      <c r="AH353" s="25">
        <v>3</v>
      </c>
      <c r="AI353" s="12">
        <v>0.84</v>
      </c>
      <c r="AJ353" s="25">
        <v>203715</v>
      </c>
      <c r="AK353" s="25">
        <v>5124</v>
      </c>
      <c r="AL353" s="33">
        <v>2.58E-2</v>
      </c>
      <c r="AM353" s="3" t="s">
        <v>2660</v>
      </c>
      <c r="AN353" s="12" t="s">
        <v>132</v>
      </c>
      <c r="AO353" s="12" t="s">
        <v>132</v>
      </c>
      <c r="AP353" s="12" t="str">
        <f>"58140803787"</f>
        <v>58140803787</v>
      </c>
      <c r="AQ353" s="12" t="s">
        <v>1359</v>
      </c>
      <c r="AR353" s="12" t="s">
        <v>1360</v>
      </c>
      <c r="AS353" s="12" t="s">
        <v>3198</v>
      </c>
      <c r="AT353" s="12"/>
      <c r="AU353" s="12" t="s">
        <v>309</v>
      </c>
      <c r="AV353" s="12"/>
      <c r="AW353" s="12"/>
      <c r="AX353" s="12">
        <v>0</v>
      </c>
      <c r="AY353" s="12">
        <v>2634</v>
      </c>
      <c r="AZ353" s="12">
        <v>0</v>
      </c>
      <c r="BA353" s="12" t="s">
        <v>1361</v>
      </c>
      <c r="BB353" s="12"/>
      <c r="BC353" s="12" t="s">
        <v>6758</v>
      </c>
      <c r="BD353" s="12"/>
      <c r="BE353" s="12" t="s">
        <v>2291</v>
      </c>
      <c r="BF353" s="12"/>
      <c r="BG353" s="12"/>
      <c r="BH353" s="12"/>
      <c r="BI353" s="12"/>
      <c r="BJ353" s="12"/>
      <c r="BK353" s="12"/>
      <c r="BL353" s="12" t="s">
        <v>2292</v>
      </c>
      <c r="BM353" s="12" t="s">
        <v>2292</v>
      </c>
      <c r="BN353" s="12" t="s">
        <v>2292</v>
      </c>
      <c r="BO353" s="12" t="s">
        <v>2291</v>
      </c>
      <c r="BP353" s="12"/>
      <c r="BQ353" s="12"/>
      <c r="BR353" s="12"/>
      <c r="BS353" s="12"/>
      <c r="BT353" s="12"/>
      <c r="BU353" s="12"/>
      <c r="BV353" s="12"/>
      <c r="BW353" s="12"/>
      <c r="BX353" s="12"/>
      <c r="BY353" s="13" t="s">
        <v>313</v>
      </c>
      <c r="BZ353" s="13" t="s">
        <v>6171</v>
      </c>
      <c r="CA353" s="13"/>
      <c r="CB353" s="13"/>
      <c r="CC353" s="13"/>
      <c r="CD353" s="13"/>
      <c r="CE353" s="13"/>
      <c r="CF353" s="13"/>
    </row>
    <row r="354" spans="1:84" ht="18.600000000000001" customHeight="1" x14ac:dyDescent="0.25">
      <c r="A354" s="60" t="s">
        <v>131</v>
      </c>
      <c r="B354" s="2" t="s">
        <v>3850</v>
      </c>
      <c r="C354" s="3" t="s">
        <v>3875</v>
      </c>
      <c r="D354" s="12" t="s">
        <v>3939</v>
      </c>
      <c r="E354" s="12" t="s">
        <v>3940</v>
      </c>
      <c r="F354" s="12" t="s">
        <v>3941</v>
      </c>
      <c r="G354" s="25">
        <v>310472</v>
      </c>
      <c r="H354" s="25">
        <v>254004</v>
      </c>
      <c r="I354" s="25">
        <v>25402</v>
      </c>
      <c r="J354" s="25">
        <v>7569</v>
      </c>
      <c r="K354" s="25">
        <v>879208</v>
      </c>
      <c r="L354" s="25">
        <v>136385</v>
      </c>
      <c r="M354" s="25">
        <v>1015593</v>
      </c>
      <c r="N354" s="31">
        <v>0.87</v>
      </c>
      <c r="O354" s="25">
        <v>350621</v>
      </c>
      <c r="P354" s="25">
        <v>0</v>
      </c>
      <c r="Q354" s="25">
        <v>9153</v>
      </c>
      <c r="R354" s="25">
        <v>994</v>
      </c>
      <c r="S354" s="25">
        <v>9734</v>
      </c>
      <c r="T354" s="25">
        <v>901</v>
      </c>
      <c r="U354" s="61">
        <v>2715</v>
      </c>
      <c r="V354" s="58">
        <v>6.7999999999999996E-3</v>
      </c>
      <c r="W354" s="33">
        <v>7.4000000000000003E-3</v>
      </c>
      <c r="X354" s="33">
        <v>6.4000000000000003E-3</v>
      </c>
      <c r="Y354" s="33">
        <v>8.6999999999999994E-3</v>
      </c>
      <c r="Z354" s="33">
        <v>3.3E-3</v>
      </c>
      <c r="AA354" s="33">
        <v>1.1999999999999999E-3</v>
      </c>
      <c r="AB354" s="25">
        <v>480</v>
      </c>
      <c r="AC354" s="25">
        <v>271</v>
      </c>
      <c r="AD354" s="25">
        <v>63</v>
      </c>
      <c r="AE354" s="25">
        <v>66</v>
      </c>
      <c r="AF354" s="25">
        <v>56</v>
      </c>
      <c r="AG354" s="25">
        <v>18</v>
      </c>
      <c r="AH354" s="25">
        <v>6</v>
      </c>
      <c r="AI354" s="12">
        <v>1.0900000000000001</v>
      </c>
      <c r="AJ354" s="25">
        <v>95405</v>
      </c>
      <c r="AK354" s="25">
        <v>692</v>
      </c>
      <c r="AL354" s="33">
        <v>7.3000000000000001E-3</v>
      </c>
      <c r="AM354" s="3" t="s">
        <v>3875</v>
      </c>
      <c r="AN354" s="12" t="s">
        <v>3940</v>
      </c>
      <c r="AO354" s="12" t="s">
        <v>3940</v>
      </c>
      <c r="AP354" s="12" t="str">
        <f>"44833802365"</f>
        <v>44833802365</v>
      </c>
      <c r="AQ354" s="12" t="s">
        <v>3939</v>
      </c>
      <c r="AR354" s="12"/>
      <c r="AS354" s="12" t="s">
        <v>4498</v>
      </c>
      <c r="AT354" s="12"/>
      <c r="AU354" s="12" t="s">
        <v>309</v>
      </c>
      <c r="AV354" s="12"/>
      <c r="AW354" s="12"/>
      <c r="AX354" s="12">
        <v>0</v>
      </c>
      <c r="AY354" s="12">
        <v>1673</v>
      </c>
      <c r="AZ354" s="12">
        <v>0</v>
      </c>
      <c r="BA354" s="12" t="s">
        <v>4499</v>
      </c>
      <c r="BB354" s="12"/>
      <c r="BC354" s="12" t="s">
        <v>6298</v>
      </c>
      <c r="BD354" s="12"/>
      <c r="BE354" s="12" t="s">
        <v>2291</v>
      </c>
      <c r="BF354" s="12"/>
      <c r="BG354" s="12"/>
      <c r="BH354" s="12"/>
      <c r="BI354" s="12" t="s">
        <v>4500</v>
      </c>
      <c r="BJ354" s="12"/>
      <c r="BK354" s="12"/>
      <c r="BL354" s="12" t="s">
        <v>2292</v>
      </c>
      <c r="BM354" s="12" t="s">
        <v>2292</v>
      </c>
      <c r="BN354" s="12" t="s">
        <v>2292</v>
      </c>
      <c r="BO354" s="12" t="s">
        <v>2291</v>
      </c>
      <c r="BP354" s="12"/>
      <c r="BQ354" s="12"/>
      <c r="BR354" s="12"/>
      <c r="BS354" s="12"/>
      <c r="BT354" s="12"/>
      <c r="BU354" s="12"/>
      <c r="BV354" s="12"/>
      <c r="BW354" s="12"/>
      <c r="BX354" s="12"/>
      <c r="BY354" s="13" t="s">
        <v>313</v>
      </c>
      <c r="BZ354" s="13" t="s">
        <v>6173</v>
      </c>
      <c r="CA354" s="13" t="s">
        <v>6170</v>
      </c>
      <c r="CB354" s="13" t="s">
        <v>312</v>
      </c>
      <c r="CC354" s="13"/>
      <c r="CD354" s="13" t="s">
        <v>6198</v>
      </c>
      <c r="CE354" s="13"/>
      <c r="CF354" s="13"/>
    </row>
    <row r="355" spans="1:84" ht="18.600000000000001" customHeight="1" x14ac:dyDescent="0.25">
      <c r="A355" s="60" t="s">
        <v>131</v>
      </c>
      <c r="B355" s="2" t="s">
        <v>335</v>
      </c>
      <c r="C355" s="3" t="s">
        <v>3044</v>
      </c>
      <c r="D355" s="12" t="s">
        <v>1364</v>
      </c>
      <c r="E355" s="12" t="s">
        <v>1363</v>
      </c>
      <c r="F355" s="3" t="s">
        <v>4395</v>
      </c>
      <c r="G355" s="25">
        <v>7909</v>
      </c>
      <c r="H355" s="25">
        <v>3424</v>
      </c>
      <c r="I355" s="25">
        <v>1330</v>
      </c>
      <c r="J355" s="25">
        <v>2251</v>
      </c>
      <c r="K355" s="25">
        <v>52048</v>
      </c>
      <c r="L355" s="25">
        <v>8369</v>
      </c>
      <c r="M355" s="25">
        <v>60417</v>
      </c>
      <c r="N355" s="31">
        <v>0.86</v>
      </c>
      <c r="O355" s="25">
        <v>2696</v>
      </c>
      <c r="P355" s="25">
        <v>0</v>
      </c>
      <c r="Q355" s="25">
        <v>39</v>
      </c>
      <c r="R355" s="25">
        <v>127</v>
      </c>
      <c r="S355" s="25">
        <v>6</v>
      </c>
      <c r="T355" s="25">
        <v>641</v>
      </c>
      <c r="U355" s="61">
        <v>91</v>
      </c>
      <c r="V355" s="58">
        <v>4.3E-3</v>
      </c>
      <c r="W355" s="33">
        <v>3.7000000000000002E-3</v>
      </c>
      <c r="X355" s="33">
        <v>1.6000000000000001E-3</v>
      </c>
      <c r="Y355" s="33">
        <v>4.5999999999999999E-3</v>
      </c>
      <c r="Z355" s="33">
        <v>2.2499999999999999E-2</v>
      </c>
      <c r="AA355" s="12" t="s">
        <v>3926</v>
      </c>
      <c r="AB355" s="25">
        <v>135</v>
      </c>
      <c r="AC355" s="25">
        <v>15</v>
      </c>
      <c r="AD355" s="25">
        <v>27</v>
      </c>
      <c r="AE355" s="25">
        <v>89</v>
      </c>
      <c r="AF355" s="25">
        <v>3</v>
      </c>
      <c r="AG355" s="25">
        <v>1</v>
      </c>
      <c r="AH355" s="25">
        <v>0</v>
      </c>
      <c r="AI355" s="12">
        <v>0.31</v>
      </c>
      <c r="AJ355" s="25">
        <v>14971</v>
      </c>
      <c r="AK355" s="25">
        <v>2775</v>
      </c>
      <c r="AL355" s="33">
        <v>0.22750000000000001</v>
      </c>
      <c r="AM355" s="3" t="s">
        <v>3044</v>
      </c>
      <c r="AN355" s="12" t="s">
        <v>1363</v>
      </c>
      <c r="AO355" s="12" t="s">
        <v>1363</v>
      </c>
      <c r="AP355" s="12" t="str">
        <f>"488183977871744"</f>
        <v>488183977871744</v>
      </c>
      <c r="AQ355" s="12" t="s">
        <v>1364</v>
      </c>
      <c r="AR355" s="12" t="s">
        <v>5482</v>
      </c>
      <c r="AS355" s="12" t="s">
        <v>3045</v>
      </c>
      <c r="AT355" s="12"/>
      <c r="AU355" s="12" t="s">
        <v>5567</v>
      </c>
      <c r="AV355" s="12" t="s">
        <v>5969</v>
      </c>
      <c r="AW355" s="12"/>
      <c r="AX355" s="12">
        <v>329</v>
      </c>
      <c r="AY355" s="12">
        <v>118</v>
      </c>
      <c r="AZ355" s="12">
        <v>0</v>
      </c>
      <c r="BA355" s="12" t="s">
        <v>1365</v>
      </c>
      <c r="BB355" s="12" t="s">
        <v>7320</v>
      </c>
      <c r="BC355" s="12" t="s">
        <v>7321</v>
      </c>
      <c r="BD355" s="12"/>
      <c r="BE355" s="12" t="s">
        <v>2291</v>
      </c>
      <c r="BF355" s="12"/>
      <c r="BG355" s="12"/>
      <c r="BH355" s="12"/>
      <c r="BI355" s="12" t="s">
        <v>1366</v>
      </c>
      <c r="BJ355" s="12" t="s">
        <v>3046</v>
      </c>
      <c r="BK355" s="12"/>
      <c r="BL355" s="12" t="s">
        <v>2292</v>
      </c>
      <c r="BM355" s="12" t="s">
        <v>2292</v>
      </c>
      <c r="BN355" s="12" t="s">
        <v>2292</v>
      </c>
      <c r="BO355" s="12" t="s">
        <v>2291</v>
      </c>
      <c r="BP355" s="12"/>
      <c r="BQ355" s="12"/>
      <c r="BR355" s="12"/>
      <c r="BS355" s="12"/>
      <c r="BT355" s="12" t="s">
        <v>3816</v>
      </c>
      <c r="BU355" s="12" t="s">
        <v>326</v>
      </c>
      <c r="BV355" s="12"/>
      <c r="BW355" s="12" t="s">
        <v>4712</v>
      </c>
      <c r="BX355" s="12"/>
      <c r="BY355" s="13" t="s">
        <v>313</v>
      </c>
      <c r="BZ355" s="13" t="s">
        <v>6168</v>
      </c>
      <c r="CA355" s="13"/>
      <c r="CB355" s="13"/>
      <c r="CC355" s="13"/>
      <c r="CD355" s="13"/>
      <c r="CE355" s="13"/>
      <c r="CF355" s="13"/>
    </row>
    <row r="356" spans="1:84" ht="18.600000000000001" customHeight="1" x14ac:dyDescent="0.25">
      <c r="A356" s="60" t="s">
        <v>131</v>
      </c>
      <c r="B356" s="2" t="s">
        <v>335</v>
      </c>
      <c r="C356" s="4" t="s">
        <v>3877</v>
      </c>
      <c r="D356" s="12" t="s">
        <v>4004</v>
      </c>
      <c r="E356" s="12" t="s">
        <v>4005</v>
      </c>
      <c r="F356" s="12" t="s">
        <v>4006</v>
      </c>
      <c r="G356" s="25">
        <v>50778</v>
      </c>
      <c r="H356" s="25">
        <v>35633</v>
      </c>
      <c r="I356" s="25">
        <v>2467</v>
      </c>
      <c r="J356" s="25">
        <v>7115</v>
      </c>
      <c r="K356" s="25">
        <v>37204</v>
      </c>
      <c r="L356" s="25">
        <v>21333</v>
      </c>
      <c r="M356" s="25">
        <v>58537</v>
      </c>
      <c r="N356" s="31">
        <v>0.64</v>
      </c>
      <c r="O356" s="25">
        <v>86157</v>
      </c>
      <c r="P356" s="25">
        <v>0</v>
      </c>
      <c r="Q356" s="25">
        <v>3793</v>
      </c>
      <c r="R356" s="25">
        <v>755</v>
      </c>
      <c r="S356" s="25">
        <v>590</v>
      </c>
      <c r="T356" s="25">
        <v>387</v>
      </c>
      <c r="U356" s="61">
        <v>37</v>
      </c>
      <c r="V356" s="58">
        <v>1.4E-3</v>
      </c>
      <c r="W356" s="33">
        <v>2E-3</v>
      </c>
      <c r="X356" s="33">
        <v>1.1999999999999999E-3</v>
      </c>
      <c r="Y356" s="33">
        <v>5.0000000000000001E-4</v>
      </c>
      <c r="Z356" s="33">
        <v>2.0999999999999999E-3</v>
      </c>
      <c r="AA356" s="33">
        <v>8.0000000000000004E-4</v>
      </c>
      <c r="AB356" s="25">
        <v>154</v>
      </c>
      <c r="AC356" s="25">
        <v>41</v>
      </c>
      <c r="AD356" s="25">
        <v>81</v>
      </c>
      <c r="AE356" s="25">
        <v>3</v>
      </c>
      <c r="AF356" s="25">
        <v>6</v>
      </c>
      <c r="AG356" s="25">
        <v>16</v>
      </c>
      <c r="AH356" s="25">
        <v>7</v>
      </c>
      <c r="AI356" s="12">
        <v>0.35</v>
      </c>
      <c r="AJ356" s="25">
        <v>232330</v>
      </c>
      <c r="AK356" s="25">
        <v>1196</v>
      </c>
      <c r="AL356" s="33">
        <v>5.1999999999999998E-3</v>
      </c>
      <c r="AM356" s="4" t="s">
        <v>3877</v>
      </c>
      <c r="AN356" s="12" t="s">
        <v>4005</v>
      </c>
      <c r="AO356" s="12" t="s">
        <v>4005</v>
      </c>
      <c r="AP356" s="12" t="str">
        <f>"34906136673"</f>
        <v>34906136673</v>
      </c>
      <c r="AQ356" s="12" t="s">
        <v>4004</v>
      </c>
      <c r="AR356" s="12" t="s">
        <v>4523</v>
      </c>
      <c r="AS356" s="12" t="s">
        <v>4524</v>
      </c>
      <c r="AT356" s="12"/>
      <c r="AU356" s="12" t="s">
        <v>302</v>
      </c>
      <c r="AV356" s="12" t="s">
        <v>5780</v>
      </c>
      <c r="AW356" s="12"/>
      <c r="AX356" s="12">
        <v>1083</v>
      </c>
      <c r="AY356" s="12">
        <v>1998</v>
      </c>
      <c r="AZ356" s="12">
        <v>0</v>
      </c>
      <c r="BA356" s="12" t="s">
        <v>4525</v>
      </c>
      <c r="BB356" s="12" t="s">
        <v>6440</v>
      </c>
      <c r="BC356" s="12" t="s">
        <v>6441</v>
      </c>
      <c r="BD356" s="12"/>
      <c r="BE356" s="12" t="s">
        <v>2291</v>
      </c>
      <c r="BF356" s="12"/>
      <c r="BG356" s="12"/>
      <c r="BH356" s="12"/>
      <c r="BI356" s="12" t="s">
        <v>4526</v>
      </c>
      <c r="BJ356" s="12" t="s">
        <v>4527</v>
      </c>
      <c r="BK356" s="12"/>
      <c r="BL356" s="12" t="s">
        <v>2292</v>
      </c>
      <c r="BM356" s="12" t="s">
        <v>2292</v>
      </c>
      <c r="BN356" s="12" t="s">
        <v>2292</v>
      </c>
      <c r="BO356" s="12" t="s">
        <v>2291</v>
      </c>
      <c r="BP356" s="12"/>
      <c r="BQ356" s="12"/>
      <c r="BR356" s="12"/>
      <c r="BS356" s="12"/>
      <c r="BT356" s="12"/>
      <c r="BU356" s="12" t="s">
        <v>4529</v>
      </c>
      <c r="BV356" s="12"/>
      <c r="BW356" s="12"/>
      <c r="BX356" s="12"/>
      <c r="BY356" s="13" t="s">
        <v>313</v>
      </c>
      <c r="BZ356" s="13" t="s">
        <v>6173</v>
      </c>
      <c r="CA356" s="13"/>
      <c r="CB356" s="13"/>
      <c r="CC356" s="13"/>
      <c r="CD356" s="13"/>
      <c r="CE356" s="13"/>
      <c r="CF356" s="13"/>
    </row>
    <row r="357" spans="1:84" ht="18.600000000000001" customHeight="1" x14ac:dyDescent="0.25">
      <c r="A357" s="60" t="s">
        <v>133</v>
      </c>
      <c r="B357" s="2" t="s">
        <v>4732</v>
      </c>
      <c r="C357" s="3" t="s">
        <v>3734</v>
      </c>
      <c r="D357" s="12" t="s">
        <v>3830</v>
      </c>
      <c r="E357" s="12" t="s">
        <v>3829</v>
      </c>
      <c r="F357" s="12" t="s">
        <v>4133</v>
      </c>
      <c r="G357" s="25">
        <v>362398</v>
      </c>
      <c r="H357" s="25">
        <v>319098</v>
      </c>
      <c r="I357" s="25">
        <v>7946</v>
      </c>
      <c r="J357" s="25">
        <v>14156</v>
      </c>
      <c r="K357" s="25">
        <v>702338</v>
      </c>
      <c r="L357" s="25">
        <v>294496</v>
      </c>
      <c r="M357" s="25">
        <v>996834</v>
      </c>
      <c r="N357" s="31">
        <v>0.7</v>
      </c>
      <c r="O357" s="25">
        <v>211686</v>
      </c>
      <c r="P357" s="25">
        <v>79430</v>
      </c>
      <c r="Q357" s="25">
        <v>11265</v>
      </c>
      <c r="R357" s="25">
        <v>1577</v>
      </c>
      <c r="S357" s="25">
        <v>678</v>
      </c>
      <c r="T357" s="25">
        <v>7131</v>
      </c>
      <c r="U357" s="61">
        <v>545</v>
      </c>
      <c r="V357" s="58">
        <v>8.9999999999999993E-3</v>
      </c>
      <c r="W357" s="33">
        <v>0.01</v>
      </c>
      <c r="X357" s="33">
        <v>5.5999999999999999E-3</v>
      </c>
      <c r="Y357" s="33">
        <v>1.3899999999999999E-2</v>
      </c>
      <c r="Z357" s="33">
        <v>2.1700000000000001E-2</v>
      </c>
      <c r="AA357" s="33">
        <v>1.6999999999999999E-3</v>
      </c>
      <c r="AB357" s="25">
        <v>864</v>
      </c>
      <c r="AC357" s="25">
        <v>524</v>
      </c>
      <c r="AD357" s="25">
        <v>211</v>
      </c>
      <c r="AE357" s="25">
        <v>58</v>
      </c>
      <c r="AF357" s="25">
        <v>40</v>
      </c>
      <c r="AG357" s="25">
        <v>28</v>
      </c>
      <c r="AH357" s="25">
        <v>3</v>
      </c>
      <c r="AI357" s="12">
        <v>1.97</v>
      </c>
      <c r="AJ357" s="25">
        <v>52589</v>
      </c>
      <c r="AK357" s="25">
        <v>19027</v>
      </c>
      <c r="AL357" s="33">
        <v>0.56689999999999996</v>
      </c>
      <c r="AM357" s="3" t="s">
        <v>3734</v>
      </c>
      <c r="AN357" s="12" t="s">
        <v>3829</v>
      </c>
      <c r="AO357" s="12" t="s">
        <v>3829</v>
      </c>
      <c r="AP357" s="12" t="str">
        <f>"1777496589189799"</f>
        <v>1777496589189799</v>
      </c>
      <c r="AQ357" s="12" t="s">
        <v>3830</v>
      </c>
      <c r="AR357" s="12" t="s">
        <v>3831</v>
      </c>
      <c r="AS357" s="12" t="s">
        <v>3832</v>
      </c>
      <c r="AT357" s="12" t="s">
        <v>3833</v>
      </c>
      <c r="AU357" s="12" t="s">
        <v>309</v>
      </c>
      <c r="AV357" s="12"/>
      <c r="AW357" s="12"/>
      <c r="AX357" s="12">
        <v>0</v>
      </c>
      <c r="AY357" s="12">
        <v>377</v>
      </c>
      <c r="AZ357" s="12">
        <v>0</v>
      </c>
      <c r="BA357" s="12" t="s">
        <v>3834</v>
      </c>
      <c r="BB357" s="12" t="s">
        <v>6735</v>
      </c>
      <c r="BC357" s="12" t="s">
        <v>6736</v>
      </c>
      <c r="BD357" s="12"/>
      <c r="BE357" s="12" t="s">
        <v>2291</v>
      </c>
      <c r="BF357" s="12"/>
      <c r="BG357" s="12"/>
      <c r="BH357" s="12"/>
      <c r="BI357" s="12"/>
      <c r="BJ357" s="12"/>
      <c r="BK357" s="12"/>
      <c r="BL357" s="12" t="s">
        <v>2292</v>
      </c>
      <c r="BM357" s="12" t="s">
        <v>2292</v>
      </c>
      <c r="BN357" s="12" t="s">
        <v>2292</v>
      </c>
      <c r="BO357" s="12" t="s">
        <v>2291</v>
      </c>
      <c r="BP357" s="12"/>
      <c r="BQ357" s="12"/>
      <c r="BR357" s="12"/>
      <c r="BS357" s="12"/>
      <c r="BT357" s="12">
        <v>3726316202</v>
      </c>
      <c r="BU357" s="12"/>
      <c r="BV357" s="12"/>
      <c r="BW357" s="12" t="s">
        <v>3835</v>
      </c>
      <c r="BX357" s="12"/>
      <c r="BY357" s="13" t="s">
        <v>313</v>
      </c>
      <c r="BZ357" s="13" t="s">
        <v>312</v>
      </c>
      <c r="CA357" s="13"/>
      <c r="CB357" s="13"/>
      <c r="CC357" s="13"/>
      <c r="CD357" s="13"/>
      <c r="CE357" s="13"/>
      <c r="CF357" s="13"/>
    </row>
    <row r="358" spans="1:84" ht="18.600000000000001" customHeight="1" x14ac:dyDescent="0.25">
      <c r="A358" s="60" t="s">
        <v>133</v>
      </c>
      <c r="B358" s="2" t="s">
        <v>3853</v>
      </c>
      <c r="C358" s="4" t="s">
        <v>3867</v>
      </c>
      <c r="D358" s="12" t="s">
        <v>4334</v>
      </c>
      <c r="E358" s="12" t="s">
        <v>3854</v>
      </c>
      <c r="F358" s="3" t="s">
        <v>4335</v>
      </c>
      <c r="G358" s="25">
        <v>52634</v>
      </c>
      <c r="H358" s="25">
        <v>43938</v>
      </c>
      <c r="I358" s="25">
        <v>3011</v>
      </c>
      <c r="J358" s="25">
        <v>2629</v>
      </c>
      <c r="K358" s="25">
        <v>40430</v>
      </c>
      <c r="L358" s="25">
        <v>38388</v>
      </c>
      <c r="M358" s="25">
        <v>78818</v>
      </c>
      <c r="N358" s="31">
        <v>0.51</v>
      </c>
      <c r="O358" s="25">
        <v>7819</v>
      </c>
      <c r="P358" s="25">
        <v>0</v>
      </c>
      <c r="Q358" s="25">
        <v>612</v>
      </c>
      <c r="R358" s="25">
        <v>832</v>
      </c>
      <c r="S358" s="25">
        <v>429</v>
      </c>
      <c r="T358" s="25">
        <v>857</v>
      </c>
      <c r="U358" s="61">
        <v>326</v>
      </c>
      <c r="V358" s="58">
        <v>1.6E-2</v>
      </c>
      <c r="W358" s="33">
        <v>1.66E-2</v>
      </c>
      <c r="X358" s="33">
        <v>1.6199999999999999E-2</v>
      </c>
      <c r="Y358" s="33">
        <v>2.53E-2</v>
      </c>
      <c r="Z358" s="33">
        <v>2.8400000000000002E-2</v>
      </c>
      <c r="AA358" s="33">
        <v>7.6E-3</v>
      </c>
      <c r="AB358" s="25">
        <v>687</v>
      </c>
      <c r="AC358" s="25">
        <v>355</v>
      </c>
      <c r="AD358" s="25">
        <v>267</v>
      </c>
      <c r="AE358" s="25">
        <v>27</v>
      </c>
      <c r="AF358" s="25">
        <v>23</v>
      </c>
      <c r="AG358" s="25">
        <v>9</v>
      </c>
      <c r="AH358" s="25">
        <v>6</v>
      </c>
      <c r="AI358" s="12">
        <v>1.56</v>
      </c>
      <c r="AJ358" s="25">
        <v>5535</v>
      </c>
      <c r="AK358" s="25">
        <v>2175</v>
      </c>
      <c r="AL358" s="33">
        <v>0.64729999999999999</v>
      </c>
      <c r="AM358" s="4" t="s">
        <v>3867</v>
      </c>
      <c r="AN358" s="12" t="s">
        <v>3854</v>
      </c>
      <c r="AO358" s="12" t="s">
        <v>3854</v>
      </c>
      <c r="AP358" s="12" t="str">
        <f>"419827918155173"</f>
        <v>419827918155173</v>
      </c>
      <c r="AQ358" s="12" t="s">
        <v>4334</v>
      </c>
      <c r="AR358" s="12" t="s">
        <v>4626</v>
      </c>
      <c r="AS358" s="12" t="s">
        <v>4627</v>
      </c>
      <c r="AT358" s="12" t="s">
        <v>5996</v>
      </c>
      <c r="AU358" s="12" t="s">
        <v>309</v>
      </c>
      <c r="AV358" s="12"/>
      <c r="AW358" s="12"/>
      <c r="AX358" s="12">
        <v>0</v>
      </c>
      <c r="AY358" s="12">
        <v>892</v>
      </c>
      <c r="AZ358" s="12">
        <v>0</v>
      </c>
      <c r="BA358" s="12" t="s">
        <v>4628</v>
      </c>
      <c r="BB358" s="12"/>
      <c r="BC358" s="12" t="s">
        <v>7185</v>
      </c>
      <c r="BD358" s="12"/>
      <c r="BE358" s="12" t="s">
        <v>2291</v>
      </c>
      <c r="BF358" s="12"/>
      <c r="BG358" s="12"/>
      <c r="BH358" s="12"/>
      <c r="BI358" s="12"/>
      <c r="BJ358" s="12"/>
      <c r="BK358" s="12"/>
      <c r="BL358" s="12" t="s">
        <v>2292</v>
      </c>
      <c r="BM358" s="12" t="s">
        <v>2292</v>
      </c>
      <c r="BN358" s="12" t="s">
        <v>2292</v>
      </c>
      <c r="BO358" s="12" t="s">
        <v>2291</v>
      </c>
      <c r="BP358" s="12"/>
      <c r="BQ358" s="12"/>
      <c r="BR358" s="12"/>
      <c r="BS358" s="12"/>
      <c r="BT358" s="12"/>
      <c r="BU358" s="12"/>
      <c r="BV358" s="12"/>
      <c r="BW358" s="12"/>
      <c r="BX358" s="12"/>
      <c r="BY358" s="13" t="s">
        <v>313</v>
      </c>
      <c r="BZ358" s="13" t="s">
        <v>312</v>
      </c>
      <c r="CA358" s="13" t="s">
        <v>6170</v>
      </c>
      <c r="CB358" s="13" t="s">
        <v>6201</v>
      </c>
      <c r="CC358" s="13"/>
      <c r="CD358" s="13" t="s">
        <v>6198</v>
      </c>
      <c r="CE358" s="13"/>
      <c r="CF358" s="13"/>
    </row>
    <row r="359" spans="1:84" ht="18.600000000000001" customHeight="1" x14ac:dyDescent="0.25">
      <c r="A359" s="60" t="s">
        <v>133</v>
      </c>
      <c r="B359" s="2" t="s">
        <v>315</v>
      </c>
      <c r="C359" s="3" t="s">
        <v>3008</v>
      </c>
      <c r="D359" s="12" t="s">
        <v>1368</v>
      </c>
      <c r="E359" s="12" t="s">
        <v>1367</v>
      </c>
      <c r="F359" s="12" t="s">
        <v>4373</v>
      </c>
      <c r="G359" s="25">
        <v>11882</v>
      </c>
      <c r="H359" s="25">
        <v>9444</v>
      </c>
      <c r="I359" s="25">
        <v>358</v>
      </c>
      <c r="J359" s="25">
        <v>1414</v>
      </c>
      <c r="K359" s="25">
        <v>29865</v>
      </c>
      <c r="L359" s="25">
        <v>26581</v>
      </c>
      <c r="M359" s="25">
        <v>56446</v>
      </c>
      <c r="N359" s="31">
        <v>0.53</v>
      </c>
      <c r="O359" s="25">
        <v>23149</v>
      </c>
      <c r="P359" s="25">
        <v>228</v>
      </c>
      <c r="Q359" s="25">
        <v>353</v>
      </c>
      <c r="R359" s="25">
        <v>156</v>
      </c>
      <c r="S359" s="25">
        <v>44</v>
      </c>
      <c r="T359" s="25">
        <v>102</v>
      </c>
      <c r="U359" s="61">
        <v>11</v>
      </c>
      <c r="V359" s="58">
        <v>2.7000000000000001E-3</v>
      </c>
      <c r="W359" s="33">
        <v>3.0999999999999999E-3</v>
      </c>
      <c r="X359" s="33">
        <v>1.2999999999999999E-3</v>
      </c>
      <c r="Y359" s="33">
        <v>8.0000000000000004E-4</v>
      </c>
      <c r="Z359" s="33">
        <v>5.0000000000000001E-3</v>
      </c>
      <c r="AA359" s="33">
        <v>1E-3</v>
      </c>
      <c r="AB359" s="25">
        <v>798</v>
      </c>
      <c r="AC359" s="25">
        <v>566</v>
      </c>
      <c r="AD359" s="25">
        <v>151</v>
      </c>
      <c r="AE359" s="25">
        <v>3</v>
      </c>
      <c r="AF359" s="25">
        <v>33</v>
      </c>
      <c r="AG359" s="25">
        <v>42</v>
      </c>
      <c r="AH359" s="25">
        <v>3</v>
      </c>
      <c r="AI359" s="12">
        <v>1.82</v>
      </c>
      <c r="AJ359" s="25">
        <v>5617</v>
      </c>
      <c r="AK359" s="25">
        <v>817</v>
      </c>
      <c r="AL359" s="33">
        <v>0.17019999999999999</v>
      </c>
      <c r="AM359" s="3" t="s">
        <v>3008</v>
      </c>
      <c r="AN359" s="12" t="s">
        <v>1367</v>
      </c>
      <c r="AO359" s="12" t="s">
        <v>1367</v>
      </c>
      <c r="AP359" s="12" t="str">
        <f>"109692931385"</f>
        <v>109692931385</v>
      </c>
      <c r="AQ359" s="12" t="s">
        <v>1368</v>
      </c>
      <c r="AR359" s="12" t="s">
        <v>1369</v>
      </c>
      <c r="AS359" s="12"/>
      <c r="AT359" s="12"/>
      <c r="AU359" s="12" t="s">
        <v>4806</v>
      </c>
      <c r="AV359" s="12" t="s">
        <v>7271</v>
      </c>
      <c r="AW359" s="12"/>
      <c r="AX359" s="12">
        <v>2515</v>
      </c>
      <c r="AY359" s="12">
        <v>234</v>
      </c>
      <c r="AZ359" s="12">
        <v>2515</v>
      </c>
      <c r="BA359" s="12" t="s">
        <v>1370</v>
      </c>
      <c r="BB359" s="12" t="s">
        <v>7272</v>
      </c>
      <c r="BC359" s="12" t="s">
        <v>7273</v>
      </c>
      <c r="BD359" s="12"/>
      <c r="BE359" s="12" t="s">
        <v>2291</v>
      </c>
      <c r="BF359" s="12"/>
      <c r="BG359" s="12"/>
      <c r="BH359" s="12"/>
      <c r="BI359" s="12" t="s">
        <v>3009</v>
      </c>
      <c r="BJ359" s="12"/>
      <c r="BK359" s="12" t="s">
        <v>6396</v>
      </c>
      <c r="BL359" s="12" t="s">
        <v>2292</v>
      </c>
      <c r="BM359" s="12" t="s">
        <v>2292</v>
      </c>
      <c r="BN359" s="12" t="s">
        <v>2292</v>
      </c>
      <c r="BO359" s="12" t="s">
        <v>2291</v>
      </c>
      <c r="BP359" s="12"/>
      <c r="BQ359" s="12"/>
      <c r="BR359" s="12"/>
      <c r="BS359" s="12"/>
      <c r="BT359" s="12" t="s">
        <v>3010</v>
      </c>
      <c r="BU359" s="12" t="s">
        <v>326</v>
      </c>
      <c r="BV359" s="12"/>
      <c r="BW359" s="12" t="s">
        <v>3689</v>
      </c>
      <c r="BX359" s="12"/>
      <c r="BY359" s="13" t="s">
        <v>313</v>
      </c>
      <c r="BZ359" s="13" t="s">
        <v>6170</v>
      </c>
      <c r="CA359" s="13" t="s">
        <v>6170</v>
      </c>
      <c r="CB359" s="13" t="s">
        <v>6199</v>
      </c>
      <c r="CC359" s="13" t="s">
        <v>6187</v>
      </c>
      <c r="CD359" s="13" t="s">
        <v>6198</v>
      </c>
      <c r="CE359" s="13"/>
      <c r="CF359" s="13" t="s">
        <v>6178</v>
      </c>
    </row>
    <row r="360" spans="1:84" ht="18.600000000000001" customHeight="1" x14ac:dyDescent="0.25">
      <c r="A360" s="60" t="s">
        <v>133</v>
      </c>
      <c r="B360" s="2" t="s">
        <v>335</v>
      </c>
      <c r="C360" s="3" t="s">
        <v>3067</v>
      </c>
      <c r="D360" s="12" t="s">
        <v>1371</v>
      </c>
      <c r="E360" s="12" t="s">
        <v>134</v>
      </c>
      <c r="F360" s="12" t="s">
        <v>4415</v>
      </c>
      <c r="G360" s="25">
        <v>26514</v>
      </c>
      <c r="H360" s="25">
        <v>19483</v>
      </c>
      <c r="I360" s="25">
        <v>615</v>
      </c>
      <c r="J360" s="25">
        <v>4819</v>
      </c>
      <c r="K360" s="25">
        <v>53308</v>
      </c>
      <c r="L360" s="25">
        <v>81698</v>
      </c>
      <c r="M360" s="25">
        <v>135006</v>
      </c>
      <c r="N360" s="31">
        <v>0.39</v>
      </c>
      <c r="O360" s="25">
        <v>20933</v>
      </c>
      <c r="P360" s="25">
        <v>102</v>
      </c>
      <c r="Q360" s="25">
        <v>1184</v>
      </c>
      <c r="R360" s="25">
        <v>80</v>
      </c>
      <c r="S360" s="25">
        <v>83</v>
      </c>
      <c r="T360" s="25">
        <v>202</v>
      </c>
      <c r="U360" s="61">
        <v>46</v>
      </c>
      <c r="V360" s="58">
        <v>3.8E-3</v>
      </c>
      <c r="W360" s="33">
        <v>3.0000000000000001E-3</v>
      </c>
      <c r="X360" s="33">
        <v>4.7999999999999996E-3</v>
      </c>
      <c r="Y360" s="33">
        <v>2.3999999999999998E-3</v>
      </c>
      <c r="Z360" s="33">
        <v>8.3000000000000001E-3</v>
      </c>
      <c r="AA360" s="33">
        <v>2.8E-3</v>
      </c>
      <c r="AB360" s="25">
        <v>450</v>
      </c>
      <c r="AC360" s="25">
        <v>241</v>
      </c>
      <c r="AD360" s="25">
        <v>145</v>
      </c>
      <c r="AE360" s="25">
        <v>3</v>
      </c>
      <c r="AF360" s="25">
        <v>27</v>
      </c>
      <c r="AG360" s="25">
        <v>21</v>
      </c>
      <c r="AH360" s="25">
        <v>13</v>
      </c>
      <c r="AI360" s="12">
        <v>1.03</v>
      </c>
      <c r="AJ360" s="25">
        <v>16285</v>
      </c>
      <c r="AK360" s="25">
        <v>2606</v>
      </c>
      <c r="AL360" s="33">
        <v>0.1905</v>
      </c>
      <c r="AM360" s="3" t="s">
        <v>3067</v>
      </c>
      <c r="AN360" s="12" t="s">
        <v>134</v>
      </c>
      <c r="AO360" s="12" t="s">
        <v>134</v>
      </c>
      <c r="AP360" s="12" t="str">
        <f>"57904691979"</f>
        <v>57904691979</v>
      </c>
      <c r="AQ360" s="12" t="s">
        <v>1371</v>
      </c>
      <c r="AR360" s="12" t="s">
        <v>1372</v>
      </c>
      <c r="AS360" s="12" t="s">
        <v>3068</v>
      </c>
      <c r="AT360" s="12"/>
      <c r="AU360" s="12" t="s">
        <v>324</v>
      </c>
      <c r="AV360" s="12" t="s">
        <v>5731</v>
      </c>
      <c r="AW360" s="12"/>
      <c r="AX360" s="12">
        <v>951</v>
      </c>
      <c r="AY360" s="12">
        <v>255</v>
      </c>
      <c r="AZ360" s="12">
        <v>951</v>
      </c>
      <c r="BA360" s="12" t="s">
        <v>1373</v>
      </c>
      <c r="BB360" s="12" t="s">
        <v>7371</v>
      </c>
      <c r="BC360" s="12" t="s">
        <v>7372</v>
      </c>
      <c r="BD360" s="12"/>
      <c r="BE360" s="12" t="s">
        <v>2291</v>
      </c>
      <c r="BF360" s="12"/>
      <c r="BG360" s="12"/>
      <c r="BH360" s="12"/>
      <c r="BI360" s="12" t="s">
        <v>5484</v>
      </c>
      <c r="BJ360" s="12"/>
      <c r="BK360" s="12"/>
      <c r="BL360" s="12" t="s">
        <v>2292</v>
      </c>
      <c r="BM360" s="12" t="s">
        <v>2292</v>
      </c>
      <c r="BN360" s="12" t="s">
        <v>2292</v>
      </c>
      <c r="BO360" s="12" t="s">
        <v>2291</v>
      </c>
      <c r="BP360" s="12" t="s">
        <v>1374</v>
      </c>
      <c r="BQ360" s="12"/>
      <c r="BR360" s="12"/>
      <c r="BS360" s="12"/>
      <c r="BT360" s="12" t="s">
        <v>1375</v>
      </c>
      <c r="BU360" s="12" t="s">
        <v>326</v>
      </c>
      <c r="BV360" s="12"/>
      <c r="BW360" s="12" t="s">
        <v>1376</v>
      </c>
      <c r="BX360" s="12"/>
      <c r="BY360" s="13" t="s">
        <v>313</v>
      </c>
      <c r="BZ360" s="13" t="s">
        <v>6170</v>
      </c>
      <c r="CA360" s="13" t="s">
        <v>6170</v>
      </c>
      <c r="CB360" s="13" t="s">
        <v>6200</v>
      </c>
      <c r="CC360" s="13"/>
      <c r="CD360" s="13" t="s">
        <v>6195</v>
      </c>
      <c r="CE360" s="13"/>
      <c r="CF360" s="13"/>
    </row>
    <row r="361" spans="1:84" ht="18.600000000000001" customHeight="1" x14ac:dyDescent="0.25">
      <c r="A361" s="60" t="s">
        <v>1378</v>
      </c>
      <c r="B361" s="2" t="s">
        <v>1384</v>
      </c>
      <c r="C361" s="3" t="s">
        <v>2470</v>
      </c>
      <c r="D361" s="12" t="s">
        <v>1377</v>
      </c>
      <c r="E361" s="12" t="s">
        <v>1379</v>
      </c>
      <c r="F361" s="12" t="s">
        <v>4044</v>
      </c>
      <c r="G361" s="25">
        <v>692742</v>
      </c>
      <c r="H361" s="25">
        <v>500433</v>
      </c>
      <c r="I361" s="25">
        <v>56855</v>
      </c>
      <c r="J361" s="25">
        <v>53511</v>
      </c>
      <c r="K361" s="25">
        <v>2875532</v>
      </c>
      <c r="L361" s="25">
        <v>2423692</v>
      </c>
      <c r="M361" s="25">
        <v>5299224</v>
      </c>
      <c r="N361" s="31">
        <v>0.54</v>
      </c>
      <c r="O361" s="25">
        <v>309113</v>
      </c>
      <c r="P361" s="25">
        <v>522539</v>
      </c>
      <c r="Q361" s="25">
        <v>67478</v>
      </c>
      <c r="R361" s="25">
        <v>1328</v>
      </c>
      <c r="S361" s="25">
        <v>2951</v>
      </c>
      <c r="T361" s="25">
        <v>7665</v>
      </c>
      <c r="U361" s="61">
        <v>2221</v>
      </c>
      <c r="V361" s="58">
        <v>0.01</v>
      </c>
      <c r="W361" s="33">
        <v>8.9999999999999993E-3</v>
      </c>
      <c r="X361" s="33">
        <v>6.4000000000000003E-3</v>
      </c>
      <c r="Y361" s="33">
        <v>4.3499999999999997E-2</v>
      </c>
      <c r="Z361" s="33">
        <v>1.15E-2</v>
      </c>
      <c r="AA361" s="12" t="s">
        <v>3926</v>
      </c>
      <c r="AB361" s="25">
        <v>389</v>
      </c>
      <c r="AC361" s="25">
        <v>201</v>
      </c>
      <c r="AD361" s="25">
        <v>11</v>
      </c>
      <c r="AE361" s="25">
        <v>15</v>
      </c>
      <c r="AF361" s="25">
        <v>127</v>
      </c>
      <c r="AG361" s="25">
        <v>35</v>
      </c>
      <c r="AH361" s="25">
        <v>0</v>
      </c>
      <c r="AI361" s="12">
        <v>0.89</v>
      </c>
      <c r="AJ361" s="25">
        <v>210231</v>
      </c>
      <c r="AK361" s="25">
        <v>94202</v>
      </c>
      <c r="AL361" s="33">
        <v>0.81189999999999996</v>
      </c>
      <c r="AM361" s="3" t="s">
        <v>2470</v>
      </c>
      <c r="AN361" s="12" t="s">
        <v>1379</v>
      </c>
      <c r="AO361" s="12" t="s">
        <v>1379</v>
      </c>
      <c r="AP361" s="12" t="str">
        <f>"543228812481111"</f>
        <v>543228812481111</v>
      </c>
      <c r="AQ361" s="12" t="s">
        <v>1377</v>
      </c>
      <c r="AR361" s="12" t="s">
        <v>1380</v>
      </c>
      <c r="AS361" s="12" t="s">
        <v>1381</v>
      </c>
      <c r="AT361" s="12" t="s">
        <v>2471</v>
      </c>
      <c r="AU361" s="12" t="s">
        <v>319</v>
      </c>
      <c r="AV361" s="12"/>
      <c r="AW361" s="12"/>
      <c r="AX361" s="12">
        <v>0</v>
      </c>
      <c r="AY361" s="12">
        <v>4173</v>
      </c>
      <c r="AZ361" s="12">
        <v>0</v>
      </c>
      <c r="BA361" s="12" t="s">
        <v>1382</v>
      </c>
      <c r="BB361" s="12"/>
      <c r="BC361" s="12" t="s">
        <v>6531</v>
      </c>
      <c r="BD361" s="12" t="s">
        <v>1383</v>
      </c>
      <c r="BE361" s="12" t="s">
        <v>2291</v>
      </c>
      <c r="BF361" s="12"/>
      <c r="BG361" s="12"/>
      <c r="BH361" s="12"/>
      <c r="BI361" s="12"/>
      <c r="BJ361" s="12"/>
      <c r="BK361" s="12"/>
      <c r="BL361" s="12" t="s">
        <v>2292</v>
      </c>
      <c r="BM361" s="12" t="s">
        <v>2292</v>
      </c>
      <c r="BN361" s="12" t="s">
        <v>2292</v>
      </c>
      <c r="BO361" s="12" t="s">
        <v>2291</v>
      </c>
      <c r="BP361" s="12"/>
      <c r="BQ361" s="12"/>
      <c r="BR361" s="12" t="s">
        <v>2472</v>
      </c>
      <c r="BS361" s="12"/>
      <c r="BT361" s="12"/>
      <c r="BU361" s="12"/>
      <c r="BV361" s="12"/>
      <c r="BW361" s="12"/>
      <c r="BX361" s="12"/>
      <c r="BY361" s="13" t="s">
        <v>313</v>
      </c>
      <c r="BZ361" s="13" t="s">
        <v>312</v>
      </c>
      <c r="CA361" s="13"/>
      <c r="CB361" s="13"/>
      <c r="CC361" s="13"/>
      <c r="CD361" s="13"/>
      <c r="CE361" s="13"/>
      <c r="CF361" s="13"/>
    </row>
    <row r="362" spans="1:84" ht="18.600000000000001" customHeight="1" x14ac:dyDescent="0.25">
      <c r="A362" s="60" t="s">
        <v>1378</v>
      </c>
      <c r="B362" s="2" t="s">
        <v>315</v>
      </c>
      <c r="C362" s="3" t="s">
        <v>2464</v>
      </c>
      <c r="D362" s="12" t="s">
        <v>1386</v>
      </c>
      <c r="E362" s="12" t="s">
        <v>1385</v>
      </c>
      <c r="F362" s="12" t="s">
        <v>4042</v>
      </c>
      <c r="G362" s="25">
        <v>330578</v>
      </c>
      <c r="H362" s="25">
        <v>192132</v>
      </c>
      <c r="I362" s="25">
        <v>14312</v>
      </c>
      <c r="J362" s="25">
        <v>102369</v>
      </c>
      <c r="K362" s="25">
        <v>4701787</v>
      </c>
      <c r="L362" s="25">
        <v>5116789</v>
      </c>
      <c r="M362" s="25">
        <v>9818576</v>
      </c>
      <c r="N362" s="31">
        <v>0.48</v>
      </c>
      <c r="O362" s="25">
        <v>374427</v>
      </c>
      <c r="P362" s="25">
        <v>274153</v>
      </c>
      <c r="Q362" s="25">
        <v>15623</v>
      </c>
      <c r="R362" s="25">
        <v>1256</v>
      </c>
      <c r="S362" s="25">
        <v>1352</v>
      </c>
      <c r="T362" s="25">
        <v>2066</v>
      </c>
      <c r="U362" s="61">
        <v>1449</v>
      </c>
      <c r="V362" s="58">
        <v>1.6000000000000001E-3</v>
      </c>
      <c r="W362" s="33">
        <v>1E-3</v>
      </c>
      <c r="X362" s="33">
        <v>1E-3</v>
      </c>
      <c r="Y362" s="33">
        <v>2.0000000000000001E-4</v>
      </c>
      <c r="Z362" s="33">
        <v>1.5E-3</v>
      </c>
      <c r="AA362" s="33">
        <v>2.9999999999999997E-4</v>
      </c>
      <c r="AB362" s="25">
        <v>660</v>
      </c>
      <c r="AC362" s="25">
        <v>98</v>
      </c>
      <c r="AD362" s="25">
        <v>16</v>
      </c>
      <c r="AE362" s="25">
        <v>5</v>
      </c>
      <c r="AF362" s="25">
        <v>468</v>
      </c>
      <c r="AG362" s="25">
        <v>62</v>
      </c>
      <c r="AH362" s="25">
        <v>11</v>
      </c>
      <c r="AI362" s="12">
        <v>1.5</v>
      </c>
      <c r="AJ362" s="25">
        <v>351092</v>
      </c>
      <c r="AK362" s="25">
        <v>98787</v>
      </c>
      <c r="AL362" s="33">
        <v>0.39150000000000001</v>
      </c>
      <c r="AM362" s="3" t="s">
        <v>2464</v>
      </c>
      <c r="AN362" s="12" t="s">
        <v>1385</v>
      </c>
      <c r="AO362" s="12" t="s">
        <v>1385</v>
      </c>
      <c r="AP362" s="12" t="str">
        <f>"147547541961576"</f>
        <v>147547541961576</v>
      </c>
      <c r="AQ362" s="12" t="s">
        <v>1386</v>
      </c>
      <c r="AR362" s="12" t="s">
        <v>5817</v>
      </c>
      <c r="AS362" s="12" t="s">
        <v>1387</v>
      </c>
      <c r="AT362" s="12"/>
      <c r="AU362" s="12" t="s">
        <v>324</v>
      </c>
      <c r="AV362" s="12" t="s">
        <v>5818</v>
      </c>
      <c r="AW362" s="12"/>
      <c r="AX362" s="12">
        <v>32265</v>
      </c>
      <c r="AY362" s="12">
        <v>10780</v>
      </c>
      <c r="AZ362" s="12">
        <v>0</v>
      </c>
      <c r="BA362" s="12" t="s">
        <v>1388</v>
      </c>
      <c r="BB362" s="12" t="s">
        <v>6527</v>
      </c>
      <c r="BC362" s="12" t="s">
        <v>6528</v>
      </c>
      <c r="BD362" s="12"/>
      <c r="BE362" s="12" t="s">
        <v>2291</v>
      </c>
      <c r="BF362" s="12"/>
      <c r="BG362" s="12"/>
      <c r="BH362" s="12"/>
      <c r="BI362" s="12" t="s">
        <v>2465</v>
      </c>
      <c r="BJ362" s="12" t="s">
        <v>2466</v>
      </c>
      <c r="BK362" s="12"/>
      <c r="BL362" s="12" t="s">
        <v>2292</v>
      </c>
      <c r="BM362" s="12" t="s">
        <v>2292</v>
      </c>
      <c r="BN362" s="12" t="s">
        <v>2292</v>
      </c>
      <c r="BO362" s="12" t="s">
        <v>2291</v>
      </c>
      <c r="BP362" s="12" t="s">
        <v>2467</v>
      </c>
      <c r="BQ362" s="12"/>
      <c r="BR362" s="12"/>
      <c r="BS362" s="12"/>
      <c r="BT362" s="12">
        <v>3222815650</v>
      </c>
      <c r="BU362" s="12" t="s">
        <v>326</v>
      </c>
      <c r="BV362" s="12"/>
      <c r="BW362" s="12" t="s">
        <v>3229</v>
      </c>
      <c r="BX362" s="12"/>
      <c r="BY362" s="13" t="s">
        <v>313</v>
      </c>
      <c r="BZ362" s="13" t="s">
        <v>312</v>
      </c>
      <c r="CA362" s="13"/>
      <c r="CB362" s="13"/>
      <c r="CC362" s="13"/>
      <c r="CD362" s="13"/>
      <c r="CE362" s="13" t="s">
        <v>6175</v>
      </c>
      <c r="CF362" s="13"/>
    </row>
    <row r="363" spans="1:84" ht="18.600000000000001" customHeight="1" x14ac:dyDescent="0.25">
      <c r="A363" s="60" t="s">
        <v>1378</v>
      </c>
      <c r="B363" s="2" t="s">
        <v>1393</v>
      </c>
      <c r="C363" s="3" t="s">
        <v>2627</v>
      </c>
      <c r="D363" s="12" t="s">
        <v>1389</v>
      </c>
      <c r="E363" s="12" t="s">
        <v>248</v>
      </c>
      <c r="F363" s="12" t="s">
        <v>4126</v>
      </c>
      <c r="G363" s="25">
        <v>32459</v>
      </c>
      <c r="H363" s="25">
        <v>19316</v>
      </c>
      <c r="I363" s="25">
        <v>6772</v>
      </c>
      <c r="J363" s="25">
        <v>3184</v>
      </c>
      <c r="K363" s="25">
        <v>33443</v>
      </c>
      <c r="L363" s="25">
        <v>17899</v>
      </c>
      <c r="M363" s="25">
        <v>51342</v>
      </c>
      <c r="N363" s="31">
        <v>0.65</v>
      </c>
      <c r="O363" s="25">
        <v>0</v>
      </c>
      <c r="P363" s="25">
        <v>0</v>
      </c>
      <c r="Q363" s="25">
        <v>1765</v>
      </c>
      <c r="R363" s="25">
        <v>106</v>
      </c>
      <c r="S363" s="25">
        <v>347</v>
      </c>
      <c r="T363" s="25">
        <v>499</v>
      </c>
      <c r="U363" s="61">
        <v>466</v>
      </c>
      <c r="V363" s="58">
        <v>1.72E-2</v>
      </c>
      <c r="W363" s="33">
        <v>1.7299999999999999E-2</v>
      </c>
      <c r="X363" s="33">
        <v>9.4000000000000004E-3</v>
      </c>
      <c r="Y363" s="33">
        <v>1.6299999999999999E-2</v>
      </c>
      <c r="Z363" s="33">
        <v>2.5600000000000001E-2</v>
      </c>
      <c r="AA363" s="33">
        <v>2.0299999999999999E-2</v>
      </c>
      <c r="AB363" s="25">
        <v>27</v>
      </c>
      <c r="AC363" s="25">
        <v>21</v>
      </c>
      <c r="AD363" s="25">
        <v>2</v>
      </c>
      <c r="AE363" s="25">
        <v>1</v>
      </c>
      <c r="AF363" s="25">
        <v>2</v>
      </c>
      <c r="AG363" s="25">
        <v>0</v>
      </c>
      <c r="AH363" s="25">
        <v>1</v>
      </c>
      <c r="AI363" s="12">
        <v>0.06</v>
      </c>
      <c r="AJ363" s="25">
        <v>77606</v>
      </c>
      <c r="AK363" s="25">
        <v>16752</v>
      </c>
      <c r="AL363" s="33">
        <v>0.27529999999999999</v>
      </c>
      <c r="AM363" s="3" t="s">
        <v>2627</v>
      </c>
      <c r="AN363" s="12" t="s">
        <v>248</v>
      </c>
      <c r="AO363" s="12" t="s">
        <v>248</v>
      </c>
      <c r="AP363" s="12" t="str">
        <f>"94145343128"</f>
        <v>94145343128</v>
      </c>
      <c r="AQ363" s="12" t="s">
        <v>1389</v>
      </c>
      <c r="AR363" s="12" t="s">
        <v>1390</v>
      </c>
      <c r="AS363" s="12" t="s">
        <v>1391</v>
      </c>
      <c r="AT363" s="12"/>
      <c r="AU363" s="12" t="s">
        <v>309</v>
      </c>
      <c r="AV363" s="12"/>
      <c r="AW363" s="12"/>
      <c r="AX363" s="12">
        <v>0</v>
      </c>
      <c r="AY363" s="12">
        <v>356</v>
      </c>
      <c r="AZ363" s="12">
        <v>0</v>
      </c>
      <c r="BA363" s="12" t="s">
        <v>1392</v>
      </c>
      <c r="BB363" s="12"/>
      <c r="BC363" s="12" t="s">
        <v>6714</v>
      </c>
      <c r="BD363" s="12"/>
      <c r="BE363" s="12" t="s">
        <v>2291</v>
      </c>
      <c r="BF363" s="12"/>
      <c r="BG363" s="12"/>
      <c r="BH363" s="12"/>
      <c r="BI363" s="12"/>
      <c r="BJ363" s="12"/>
      <c r="BK363" s="12"/>
      <c r="BL363" s="12" t="s">
        <v>2292</v>
      </c>
      <c r="BM363" s="12" t="s">
        <v>2292</v>
      </c>
      <c r="BN363" s="12" t="s">
        <v>2292</v>
      </c>
      <c r="BO363" s="12" t="s">
        <v>2291</v>
      </c>
      <c r="BP363" s="12"/>
      <c r="BQ363" s="12"/>
      <c r="BR363" s="12"/>
      <c r="BS363" s="12"/>
      <c r="BT363" s="12"/>
      <c r="BU363" s="12"/>
      <c r="BV363" s="12"/>
      <c r="BW363" s="12"/>
      <c r="BX363" s="12"/>
      <c r="BY363" s="13" t="s">
        <v>313</v>
      </c>
      <c r="BZ363" s="13" t="s">
        <v>312</v>
      </c>
      <c r="CA363" s="13"/>
      <c r="CB363" s="13"/>
      <c r="CC363" s="13"/>
      <c r="CD363" s="13"/>
      <c r="CE363" s="13"/>
      <c r="CF363" s="13"/>
    </row>
    <row r="364" spans="1:84" ht="18.600000000000001" customHeight="1" x14ac:dyDescent="0.25">
      <c r="A364" s="60" t="s">
        <v>1378</v>
      </c>
      <c r="B364" s="2" t="s">
        <v>1398</v>
      </c>
      <c r="C364" s="3" t="s">
        <v>2468</v>
      </c>
      <c r="D364" s="12" t="s">
        <v>1394</v>
      </c>
      <c r="E364" s="12" t="s">
        <v>1395</v>
      </c>
      <c r="F364" s="12" t="s">
        <v>4043</v>
      </c>
      <c r="G364" s="25">
        <v>1344711</v>
      </c>
      <c r="H364" s="25">
        <v>874048</v>
      </c>
      <c r="I364" s="25">
        <v>64379</v>
      </c>
      <c r="J364" s="25">
        <v>275467</v>
      </c>
      <c r="K364" s="25">
        <v>17241320</v>
      </c>
      <c r="L364" s="25">
        <v>4372057</v>
      </c>
      <c r="M364" s="25">
        <v>21613377</v>
      </c>
      <c r="N364" s="31">
        <v>0.8</v>
      </c>
      <c r="O364" s="25">
        <v>140303</v>
      </c>
      <c r="P364" s="25">
        <v>1083987</v>
      </c>
      <c r="Q364" s="25">
        <v>87470</v>
      </c>
      <c r="R364" s="25">
        <v>16454</v>
      </c>
      <c r="S364" s="25">
        <v>5524</v>
      </c>
      <c r="T364" s="25">
        <v>16420</v>
      </c>
      <c r="U364" s="61">
        <v>4653</v>
      </c>
      <c r="V364" s="58">
        <v>2.2000000000000001E-3</v>
      </c>
      <c r="W364" s="33">
        <v>2.5999999999999999E-3</v>
      </c>
      <c r="X364" s="33">
        <v>1.5E-3</v>
      </c>
      <c r="Y364" s="33">
        <v>1E-3</v>
      </c>
      <c r="Z364" s="33">
        <v>1.6999999999999999E-3</v>
      </c>
      <c r="AA364" s="33">
        <v>2.3E-3</v>
      </c>
      <c r="AB364" s="25">
        <v>849</v>
      </c>
      <c r="AC364" s="25">
        <v>423</v>
      </c>
      <c r="AD364" s="25">
        <v>41</v>
      </c>
      <c r="AE364" s="25">
        <v>5</v>
      </c>
      <c r="AF364" s="25">
        <v>342</v>
      </c>
      <c r="AG364" s="25">
        <v>16</v>
      </c>
      <c r="AH364" s="25">
        <v>22</v>
      </c>
      <c r="AI364" s="12">
        <v>1.93</v>
      </c>
      <c r="AJ364" s="25">
        <v>812491</v>
      </c>
      <c r="AK364" s="25">
        <v>178900</v>
      </c>
      <c r="AL364" s="33">
        <v>0.28239999999999998</v>
      </c>
      <c r="AM364" s="3" t="s">
        <v>2468</v>
      </c>
      <c r="AN364" s="12" t="s">
        <v>1395</v>
      </c>
      <c r="AO364" s="12" t="s">
        <v>1395</v>
      </c>
      <c r="AP364" s="12" t="str">
        <f>"107898832590939"</f>
        <v>107898832590939</v>
      </c>
      <c r="AQ364" s="12" t="s">
        <v>1394</v>
      </c>
      <c r="AR364" s="12" t="s">
        <v>4893</v>
      </c>
      <c r="AS364" s="12" t="s">
        <v>1396</v>
      </c>
      <c r="AT364" s="12"/>
      <c r="AU364" s="12" t="s">
        <v>324</v>
      </c>
      <c r="AV364" s="12" t="s">
        <v>5797</v>
      </c>
      <c r="AW364" s="12">
        <v>1957</v>
      </c>
      <c r="AX364" s="12">
        <v>120884</v>
      </c>
      <c r="AY364" s="12">
        <v>13583</v>
      </c>
      <c r="AZ364" s="12">
        <v>0</v>
      </c>
      <c r="BA364" s="12" t="s">
        <v>1397</v>
      </c>
      <c r="BB364" s="12" t="s">
        <v>6529</v>
      </c>
      <c r="BC364" s="12" t="s">
        <v>6530</v>
      </c>
      <c r="BD364" s="12"/>
      <c r="BE364" s="12" t="s">
        <v>2291</v>
      </c>
      <c r="BF364" s="12"/>
      <c r="BG364" s="12"/>
      <c r="BH364" s="12"/>
      <c r="BI364" s="12" t="s">
        <v>5278</v>
      </c>
      <c r="BJ364" s="12" t="s">
        <v>3404</v>
      </c>
      <c r="BK364" s="12"/>
      <c r="BL364" s="12" t="s">
        <v>2292</v>
      </c>
      <c r="BM364" s="12" t="s">
        <v>2292</v>
      </c>
      <c r="BN364" s="12" t="s">
        <v>2292</v>
      </c>
      <c r="BO364" s="12" t="s">
        <v>2291</v>
      </c>
      <c r="BP364" s="12" t="s">
        <v>2469</v>
      </c>
      <c r="BQ364" s="12"/>
      <c r="BR364" s="12"/>
      <c r="BS364" s="12"/>
      <c r="BT364" s="12" t="s">
        <v>4684</v>
      </c>
      <c r="BU364" s="12" t="s">
        <v>326</v>
      </c>
      <c r="BV364" s="12"/>
      <c r="BW364" s="12" t="s">
        <v>4548</v>
      </c>
      <c r="BX364" s="12"/>
      <c r="BY364" s="13" t="s">
        <v>313</v>
      </c>
      <c r="BZ364" s="13" t="s">
        <v>6174</v>
      </c>
      <c r="CA364" s="13"/>
      <c r="CB364" s="13"/>
      <c r="CC364" s="13"/>
      <c r="CD364" s="13"/>
      <c r="CE364" s="13"/>
      <c r="CF364" s="13"/>
    </row>
    <row r="365" spans="1:84" ht="18.600000000000001" customHeight="1" x14ac:dyDescent="0.25">
      <c r="A365" s="60" t="s">
        <v>1378</v>
      </c>
      <c r="B365" s="2" t="s">
        <v>1403</v>
      </c>
      <c r="C365" s="3" t="s">
        <v>2479</v>
      </c>
      <c r="D365" s="12" t="s">
        <v>1399</v>
      </c>
      <c r="E365" s="12" t="s">
        <v>1400</v>
      </c>
      <c r="F365" s="12" t="s">
        <v>4046</v>
      </c>
      <c r="G365" s="25">
        <v>82498</v>
      </c>
      <c r="H365" s="25">
        <v>60246</v>
      </c>
      <c r="I365" s="25">
        <v>9141</v>
      </c>
      <c r="J365" s="25">
        <v>7508</v>
      </c>
      <c r="K365" s="25">
        <v>136955</v>
      </c>
      <c r="L365" s="25">
        <v>219720</v>
      </c>
      <c r="M365" s="25">
        <v>356675</v>
      </c>
      <c r="N365" s="31">
        <v>0.38</v>
      </c>
      <c r="O365" s="25">
        <v>142295</v>
      </c>
      <c r="P365" s="25">
        <v>0</v>
      </c>
      <c r="Q365" s="25">
        <v>4372</v>
      </c>
      <c r="R365" s="25">
        <v>197</v>
      </c>
      <c r="S365" s="25">
        <v>361</v>
      </c>
      <c r="T365" s="25">
        <v>342</v>
      </c>
      <c r="U365" s="61">
        <v>326</v>
      </c>
      <c r="V365" s="58">
        <v>8.8999999999999999E-3</v>
      </c>
      <c r="W365" s="33">
        <v>1.32E-2</v>
      </c>
      <c r="X365" s="33">
        <v>7.3000000000000001E-3</v>
      </c>
      <c r="Y365" s="33">
        <v>6.6E-3</v>
      </c>
      <c r="Z365" s="33">
        <v>1.55E-2</v>
      </c>
      <c r="AA365" s="33">
        <v>7.9000000000000008E-3</v>
      </c>
      <c r="AB365" s="25">
        <v>113</v>
      </c>
      <c r="AC365" s="25">
        <v>22</v>
      </c>
      <c r="AD365" s="25">
        <v>43</v>
      </c>
      <c r="AE365" s="25">
        <v>1</v>
      </c>
      <c r="AF365" s="25">
        <v>14</v>
      </c>
      <c r="AG365" s="25">
        <v>31</v>
      </c>
      <c r="AH365" s="25">
        <v>2</v>
      </c>
      <c r="AI365" s="12">
        <v>0.26</v>
      </c>
      <c r="AJ365" s="25">
        <v>89212</v>
      </c>
      <c r="AK365" s="25">
        <v>15409</v>
      </c>
      <c r="AL365" s="33">
        <v>0.20880000000000001</v>
      </c>
      <c r="AM365" s="3" t="s">
        <v>2479</v>
      </c>
      <c r="AN365" s="12" t="s">
        <v>1400</v>
      </c>
      <c r="AO365" s="12" t="s">
        <v>1400</v>
      </c>
      <c r="AP365" s="12" t="str">
        <f>"154329207930803"</f>
        <v>154329207930803</v>
      </c>
      <c r="AQ365" s="12" t="s">
        <v>1399</v>
      </c>
      <c r="AR365" s="12" t="s">
        <v>1401</v>
      </c>
      <c r="AS365" s="12" t="s">
        <v>2480</v>
      </c>
      <c r="AT365" s="12" t="s">
        <v>2481</v>
      </c>
      <c r="AU365" s="12" t="s">
        <v>309</v>
      </c>
      <c r="AV365" s="12"/>
      <c r="AW365" s="12"/>
      <c r="AX365" s="12">
        <v>0</v>
      </c>
      <c r="AY365" s="12">
        <v>1730</v>
      </c>
      <c r="AZ365" s="12">
        <v>0</v>
      </c>
      <c r="BA365" s="12" t="s">
        <v>1402</v>
      </c>
      <c r="BB365" s="12"/>
      <c r="BC365" s="12" t="s">
        <v>6541</v>
      </c>
      <c r="BD365" s="12"/>
      <c r="BE365" s="12" t="s">
        <v>2291</v>
      </c>
      <c r="BF365" s="12"/>
      <c r="BG365" s="12"/>
      <c r="BH365" s="12"/>
      <c r="BI365" s="12"/>
      <c r="BJ365" s="12"/>
      <c r="BK365" s="12"/>
      <c r="BL365" s="12" t="s">
        <v>2292</v>
      </c>
      <c r="BM365" s="12" t="s">
        <v>2292</v>
      </c>
      <c r="BN365" s="12" t="s">
        <v>2292</v>
      </c>
      <c r="BO365" s="12" t="s">
        <v>2291</v>
      </c>
      <c r="BP365" s="12"/>
      <c r="BQ365" s="12"/>
      <c r="BR365" s="12"/>
      <c r="BS365" s="12"/>
      <c r="BT365" s="12"/>
      <c r="BU365" s="12"/>
      <c r="BV365" s="12"/>
      <c r="BW365" s="12"/>
      <c r="BX365" s="12"/>
      <c r="BY365" s="13" t="s">
        <v>313</v>
      </c>
      <c r="BZ365" s="13" t="s">
        <v>312</v>
      </c>
      <c r="CA365" s="13"/>
      <c r="CB365" s="13"/>
      <c r="CC365" s="13"/>
      <c r="CD365" s="13"/>
      <c r="CE365" s="13"/>
      <c r="CF365" s="13"/>
    </row>
    <row r="366" spans="1:84" ht="18.600000000000001" customHeight="1" x14ac:dyDescent="0.25">
      <c r="A366" s="60" t="s">
        <v>1378</v>
      </c>
      <c r="B366" s="2" t="s">
        <v>335</v>
      </c>
      <c r="C366" s="3" t="s">
        <v>2473</v>
      </c>
      <c r="D366" s="12" t="s">
        <v>1405</v>
      </c>
      <c r="E366" s="12" t="s">
        <v>1404</v>
      </c>
      <c r="F366" s="12" t="s">
        <v>4045</v>
      </c>
      <c r="G366" s="25">
        <v>133930</v>
      </c>
      <c r="H366" s="25">
        <v>83680</v>
      </c>
      <c r="I366" s="25">
        <v>4618</v>
      </c>
      <c r="J366" s="25">
        <v>37212</v>
      </c>
      <c r="K366" s="25">
        <v>2395441</v>
      </c>
      <c r="L366" s="25">
        <v>1329260</v>
      </c>
      <c r="M366" s="25">
        <v>3724701</v>
      </c>
      <c r="N366" s="31">
        <v>0.64</v>
      </c>
      <c r="O366" s="25">
        <v>181458</v>
      </c>
      <c r="P366" s="25">
        <v>19589</v>
      </c>
      <c r="Q366" s="25">
        <v>5813</v>
      </c>
      <c r="R366" s="25">
        <v>398</v>
      </c>
      <c r="S366" s="25">
        <v>780</v>
      </c>
      <c r="T366" s="25">
        <v>807</v>
      </c>
      <c r="U366" s="61">
        <v>615</v>
      </c>
      <c r="V366" s="58">
        <v>2.0999999999999999E-3</v>
      </c>
      <c r="W366" s="33">
        <v>1.5E-3</v>
      </c>
      <c r="X366" s="33">
        <v>1.1999999999999999E-3</v>
      </c>
      <c r="Y366" s="33">
        <v>5.0000000000000001E-4</v>
      </c>
      <c r="Z366" s="33">
        <v>3.3999999999999998E-3</v>
      </c>
      <c r="AA366" s="33">
        <v>1.2999999999999999E-3</v>
      </c>
      <c r="AB366" s="25">
        <v>367</v>
      </c>
      <c r="AC366" s="25">
        <v>90</v>
      </c>
      <c r="AD366" s="25">
        <v>45</v>
      </c>
      <c r="AE366" s="25">
        <v>1</v>
      </c>
      <c r="AF366" s="25">
        <v>173</v>
      </c>
      <c r="AG366" s="25">
        <v>53</v>
      </c>
      <c r="AH366" s="25">
        <v>5</v>
      </c>
      <c r="AI366" s="12">
        <v>0.84</v>
      </c>
      <c r="AJ366" s="25">
        <v>188184</v>
      </c>
      <c r="AK366" s="25">
        <v>32762</v>
      </c>
      <c r="AL366" s="33">
        <v>0.21079999999999999</v>
      </c>
      <c r="AM366" s="3" t="s">
        <v>2473</v>
      </c>
      <c r="AN366" s="12" t="s">
        <v>1404</v>
      </c>
      <c r="AO366" s="12" t="s">
        <v>1404</v>
      </c>
      <c r="AP366" s="12" t="str">
        <f>"158402677555776"</f>
        <v>158402677555776</v>
      </c>
      <c r="AQ366" s="12" t="s">
        <v>1405</v>
      </c>
      <c r="AR366" s="12" t="s">
        <v>4549</v>
      </c>
      <c r="AS366" s="12" t="s">
        <v>2474</v>
      </c>
      <c r="AT366" s="12"/>
      <c r="AU366" s="12" t="s">
        <v>324</v>
      </c>
      <c r="AV366" s="12" t="s">
        <v>5731</v>
      </c>
      <c r="AW366" s="12" t="s">
        <v>2475</v>
      </c>
      <c r="AX366" s="12">
        <v>4689</v>
      </c>
      <c r="AY366" s="12">
        <v>3381</v>
      </c>
      <c r="AZ366" s="12">
        <v>0</v>
      </c>
      <c r="BA366" s="12" t="s">
        <v>1406</v>
      </c>
      <c r="BB366" s="12" t="s">
        <v>6532</v>
      </c>
      <c r="BC366" s="12" t="s">
        <v>6533</v>
      </c>
      <c r="BD366" s="12"/>
      <c r="BE366" s="12" t="s">
        <v>2291</v>
      </c>
      <c r="BF366" s="12"/>
      <c r="BG366" s="12"/>
      <c r="BH366" s="12"/>
      <c r="BI366" s="12" t="s">
        <v>2476</v>
      </c>
      <c r="BJ366" s="12" t="s">
        <v>2477</v>
      </c>
      <c r="BK366" s="12"/>
      <c r="BL366" s="12" t="s">
        <v>2292</v>
      </c>
      <c r="BM366" s="12" t="s">
        <v>2292</v>
      </c>
      <c r="BN366" s="12" t="s">
        <v>2292</v>
      </c>
      <c r="BO366" s="12" t="s">
        <v>2291</v>
      </c>
      <c r="BP366" s="12" t="s">
        <v>2478</v>
      </c>
      <c r="BQ366" s="12"/>
      <c r="BR366" s="12"/>
      <c r="BS366" s="12"/>
      <c r="BT366" s="12"/>
      <c r="BU366" s="12" t="s">
        <v>326</v>
      </c>
      <c r="BV366" s="12"/>
      <c r="BW366" s="12" t="s">
        <v>4550</v>
      </c>
      <c r="BX366" s="12"/>
      <c r="BY366" s="13" t="s">
        <v>313</v>
      </c>
      <c r="BZ366" s="13" t="s">
        <v>6174</v>
      </c>
      <c r="CA366" s="13"/>
      <c r="CB366" s="13"/>
      <c r="CC366" s="13"/>
      <c r="CD366" s="13"/>
      <c r="CE366" s="13"/>
      <c r="CF366" s="13"/>
    </row>
    <row r="367" spans="1:84" ht="18.600000000000001" customHeight="1" x14ac:dyDescent="0.25">
      <c r="A367" s="60" t="s">
        <v>136</v>
      </c>
      <c r="B367" s="2" t="s">
        <v>1420</v>
      </c>
      <c r="C367" s="3" t="s">
        <v>2817</v>
      </c>
      <c r="D367" s="12" t="s">
        <v>1417</v>
      </c>
      <c r="E367" s="12" t="s">
        <v>137</v>
      </c>
      <c r="F367" s="3" t="s">
        <v>4243</v>
      </c>
      <c r="G367" s="25">
        <v>2002801</v>
      </c>
      <c r="H367" s="25">
        <v>1759579</v>
      </c>
      <c r="I367" s="25">
        <v>70150</v>
      </c>
      <c r="J367" s="25">
        <v>36059</v>
      </c>
      <c r="K367" s="25">
        <v>1001391</v>
      </c>
      <c r="L367" s="25">
        <v>733392</v>
      </c>
      <c r="M367" s="25">
        <v>1734783</v>
      </c>
      <c r="N367" s="31">
        <v>0.57999999999999996</v>
      </c>
      <c r="O367" s="25">
        <v>0</v>
      </c>
      <c r="P367" s="25">
        <v>59150</v>
      </c>
      <c r="Q367" s="25">
        <v>119805</v>
      </c>
      <c r="R367" s="25">
        <v>6320</v>
      </c>
      <c r="S367" s="25">
        <v>2809</v>
      </c>
      <c r="T367" s="25">
        <v>7779</v>
      </c>
      <c r="U367" s="61">
        <v>288</v>
      </c>
      <c r="V367" s="58">
        <v>7.4200000000000002E-2</v>
      </c>
      <c r="W367" s="33">
        <v>5.0099999999999999E-2</v>
      </c>
      <c r="X367" s="33">
        <v>0.11940000000000001</v>
      </c>
      <c r="Y367" s="33">
        <v>0.1091</v>
      </c>
      <c r="Z367" s="33">
        <v>7.5999999999999998E-2</v>
      </c>
      <c r="AA367" s="12" t="s">
        <v>3926</v>
      </c>
      <c r="AB367" s="25">
        <v>108</v>
      </c>
      <c r="AC367" s="25">
        <v>64</v>
      </c>
      <c r="AD367" s="25">
        <v>19</v>
      </c>
      <c r="AE367" s="25">
        <v>17</v>
      </c>
      <c r="AF367" s="25">
        <v>8</v>
      </c>
      <c r="AG367" s="25">
        <v>0</v>
      </c>
      <c r="AH367" s="25">
        <v>0</v>
      </c>
      <c r="AI367" s="12">
        <v>0.25</v>
      </c>
      <c r="AJ367" s="25">
        <v>284279</v>
      </c>
      <c r="AK367" s="25">
        <v>64459</v>
      </c>
      <c r="AL367" s="33">
        <v>0.29320000000000002</v>
      </c>
      <c r="AM367" s="3" t="s">
        <v>2817</v>
      </c>
      <c r="AN367" s="12" t="s">
        <v>137</v>
      </c>
      <c r="AO367" s="12" t="s">
        <v>137</v>
      </c>
      <c r="AP367" s="12" t="str">
        <f>"112733662097410"</f>
        <v>112733662097410</v>
      </c>
      <c r="AQ367" s="12" t="s">
        <v>1417</v>
      </c>
      <c r="AR367" s="12" t="s">
        <v>1418</v>
      </c>
      <c r="AS367" s="12" t="s">
        <v>2818</v>
      </c>
      <c r="AT367" s="12"/>
      <c r="AU367" s="12" t="s">
        <v>309</v>
      </c>
      <c r="AV367" s="12"/>
      <c r="AW367" s="12"/>
      <c r="AX367" s="12">
        <v>0</v>
      </c>
      <c r="AY367" s="12">
        <v>4816</v>
      </c>
      <c r="AZ367" s="12">
        <v>0</v>
      </c>
      <c r="BA367" s="12" t="s">
        <v>1419</v>
      </c>
      <c r="BB367" s="12"/>
      <c r="BC367" s="12" t="s">
        <v>6981</v>
      </c>
      <c r="BD367" s="12"/>
      <c r="BE367" s="12" t="s">
        <v>2291</v>
      </c>
      <c r="BF367" s="12"/>
      <c r="BG367" s="12"/>
      <c r="BH367" s="12"/>
      <c r="BI367" s="12"/>
      <c r="BJ367" s="12"/>
      <c r="BK367" s="12"/>
      <c r="BL367" s="12" t="s">
        <v>2292</v>
      </c>
      <c r="BM367" s="12" t="s">
        <v>2292</v>
      </c>
      <c r="BN367" s="12" t="s">
        <v>2292</v>
      </c>
      <c r="BO367" s="12" t="s">
        <v>2291</v>
      </c>
      <c r="BP367" s="12"/>
      <c r="BQ367" s="12"/>
      <c r="BR367" s="12"/>
      <c r="BS367" s="12"/>
      <c r="BT367" s="12"/>
      <c r="BU367" s="12"/>
      <c r="BV367" s="12"/>
      <c r="BW367" s="12"/>
      <c r="BX367" s="12"/>
      <c r="BY367" s="13" t="s">
        <v>313</v>
      </c>
      <c r="BZ367" s="13" t="s">
        <v>312</v>
      </c>
      <c r="CA367" s="13"/>
      <c r="CB367" s="13"/>
      <c r="CC367" s="13"/>
      <c r="CD367" s="13"/>
      <c r="CE367" s="13"/>
      <c r="CF367" s="13"/>
    </row>
    <row r="368" spans="1:84" ht="18.600000000000001" customHeight="1" x14ac:dyDescent="0.25">
      <c r="A368" s="60" t="s">
        <v>136</v>
      </c>
      <c r="B368" s="2" t="s">
        <v>3330</v>
      </c>
      <c r="C368" s="3" t="s">
        <v>2624</v>
      </c>
      <c r="D368" s="12" t="s">
        <v>1421</v>
      </c>
      <c r="E368" s="12" t="s">
        <v>1422</v>
      </c>
      <c r="F368" s="12" t="s">
        <v>4125</v>
      </c>
      <c r="G368" s="25">
        <v>77105</v>
      </c>
      <c r="H368" s="25">
        <v>62615</v>
      </c>
      <c r="I368" s="25">
        <v>9361</v>
      </c>
      <c r="J368" s="25">
        <v>1361</v>
      </c>
      <c r="K368" s="25">
        <v>0</v>
      </c>
      <c r="L368" s="25">
        <v>0</v>
      </c>
      <c r="M368" s="25">
        <v>0</v>
      </c>
      <c r="N368" s="31">
        <v>0</v>
      </c>
      <c r="O368" s="25">
        <v>11073</v>
      </c>
      <c r="P368" s="25">
        <v>0</v>
      </c>
      <c r="Q368" s="25">
        <v>1236</v>
      </c>
      <c r="R368" s="25">
        <v>139</v>
      </c>
      <c r="S368" s="25">
        <v>1097</v>
      </c>
      <c r="T368" s="25">
        <v>166</v>
      </c>
      <c r="U368" s="61">
        <v>1129</v>
      </c>
      <c r="V368" s="58">
        <v>3.5200000000000002E-2</v>
      </c>
      <c r="W368" s="33">
        <v>4.0399999999999998E-2</v>
      </c>
      <c r="X368" s="33">
        <v>3.15E-2</v>
      </c>
      <c r="Y368" s="33">
        <v>5.6000000000000001E-2</v>
      </c>
      <c r="Z368" s="12" t="s">
        <v>3926</v>
      </c>
      <c r="AA368" s="33">
        <v>2.3900000000000001E-2</v>
      </c>
      <c r="AB368" s="25">
        <v>166</v>
      </c>
      <c r="AC368" s="25">
        <v>69</v>
      </c>
      <c r="AD368" s="25">
        <v>84</v>
      </c>
      <c r="AE368" s="25">
        <v>8</v>
      </c>
      <c r="AF368" s="25">
        <v>0</v>
      </c>
      <c r="AG368" s="25">
        <v>4</v>
      </c>
      <c r="AH368" s="25">
        <v>1</v>
      </c>
      <c r="AI368" s="12">
        <v>0.38</v>
      </c>
      <c r="AJ368" s="25">
        <v>13942</v>
      </c>
      <c r="AK368" s="25">
        <v>2370</v>
      </c>
      <c r="AL368" s="33">
        <v>0.20480000000000001</v>
      </c>
      <c r="AM368" s="3" t="s">
        <v>2624</v>
      </c>
      <c r="AN368" s="12" t="s">
        <v>1422</v>
      </c>
      <c r="AO368" s="12" t="s">
        <v>1422</v>
      </c>
      <c r="AP368" s="12" t="str">
        <f>"1538045659818254"</f>
        <v>1538045659818254</v>
      </c>
      <c r="AQ368" s="12" t="s">
        <v>1421</v>
      </c>
      <c r="AR368" s="12" t="s">
        <v>2625</v>
      </c>
      <c r="AS368" s="12" t="s">
        <v>4980</v>
      </c>
      <c r="AT368" s="12" t="s">
        <v>2626</v>
      </c>
      <c r="AU368" s="12" t="s">
        <v>309</v>
      </c>
      <c r="AV368" s="12"/>
      <c r="AW368" s="12"/>
      <c r="AX368" s="12">
        <v>0</v>
      </c>
      <c r="AY368" s="12">
        <v>353</v>
      </c>
      <c r="AZ368" s="12">
        <v>0</v>
      </c>
      <c r="BA368" s="12" t="s">
        <v>1423</v>
      </c>
      <c r="BB368" s="12"/>
      <c r="BC368" s="12" t="s">
        <v>6713</v>
      </c>
      <c r="BD368" s="12"/>
      <c r="BE368" s="12" t="s">
        <v>2291</v>
      </c>
      <c r="BF368" s="12"/>
      <c r="BG368" s="12"/>
      <c r="BH368" s="12"/>
      <c r="BI368" s="12"/>
      <c r="BJ368" s="12"/>
      <c r="BK368" s="12"/>
      <c r="BL368" s="12" t="s">
        <v>2292</v>
      </c>
      <c r="BM368" s="12" t="s">
        <v>2292</v>
      </c>
      <c r="BN368" s="12" t="s">
        <v>2292</v>
      </c>
      <c r="BO368" s="12" t="s">
        <v>2291</v>
      </c>
      <c r="BP368" s="12"/>
      <c r="BQ368" s="12"/>
      <c r="BR368" s="12"/>
      <c r="BS368" s="12"/>
      <c r="BT368" s="12"/>
      <c r="BU368" s="12"/>
      <c r="BV368" s="12"/>
      <c r="BW368" s="12"/>
      <c r="BX368" s="12"/>
      <c r="BY368" s="13" t="s">
        <v>313</v>
      </c>
      <c r="BZ368" s="13" t="s">
        <v>312</v>
      </c>
      <c r="CA368" s="13"/>
      <c r="CB368" s="13"/>
      <c r="CC368" s="13"/>
      <c r="CD368" s="13"/>
      <c r="CE368" s="13"/>
      <c r="CF368" s="13"/>
    </row>
    <row r="369" spans="1:84" ht="18.600000000000001" customHeight="1" x14ac:dyDescent="0.25">
      <c r="A369" s="60" t="s">
        <v>136</v>
      </c>
      <c r="B369" s="2" t="s">
        <v>335</v>
      </c>
      <c r="C369" s="3" t="s">
        <v>3054</v>
      </c>
      <c r="D369" s="12" t="s">
        <v>1425</v>
      </c>
      <c r="E369" s="12" t="s">
        <v>1424</v>
      </c>
      <c r="F369" s="12" t="s">
        <v>4400</v>
      </c>
      <c r="G369" s="25">
        <v>25713</v>
      </c>
      <c r="H369" s="25">
        <v>20893</v>
      </c>
      <c r="I369" s="25">
        <v>606</v>
      </c>
      <c r="J369" s="25">
        <v>3323</v>
      </c>
      <c r="K369" s="25">
        <v>52393</v>
      </c>
      <c r="L369" s="25">
        <v>46408</v>
      </c>
      <c r="M369" s="25">
        <v>98801</v>
      </c>
      <c r="N369" s="31">
        <v>0.53</v>
      </c>
      <c r="O369" s="25">
        <v>25002</v>
      </c>
      <c r="P369" s="25">
        <v>8585</v>
      </c>
      <c r="Q369" s="25">
        <v>360</v>
      </c>
      <c r="R369" s="25">
        <v>212</v>
      </c>
      <c r="S369" s="25">
        <v>124</v>
      </c>
      <c r="T369" s="25">
        <v>163</v>
      </c>
      <c r="U369" s="61">
        <v>32</v>
      </c>
      <c r="V369" s="58">
        <v>1.9E-3</v>
      </c>
      <c r="W369" s="33">
        <v>2.0999999999999999E-3</v>
      </c>
      <c r="X369" s="33">
        <v>1.8E-3</v>
      </c>
      <c r="Y369" s="33">
        <v>1.1999999999999999E-3</v>
      </c>
      <c r="Z369" s="33">
        <v>4.3E-3</v>
      </c>
      <c r="AA369" s="33">
        <v>1.2999999999999999E-3</v>
      </c>
      <c r="AB369" s="25">
        <v>574</v>
      </c>
      <c r="AC369" s="25">
        <v>104</v>
      </c>
      <c r="AD369" s="25">
        <v>406</v>
      </c>
      <c r="AE369" s="25">
        <v>4</v>
      </c>
      <c r="AF369" s="25">
        <v>30</v>
      </c>
      <c r="AG369" s="25">
        <v>21</v>
      </c>
      <c r="AH369" s="25">
        <v>9</v>
      </c>
      <c r="AI369" s="12">
        <v>1.31</v>
      </c>
      <c r="AJ369" s="25">
        <v>24247</v>
      </c>
      <c r="AK369" s="25">
        <v>2997</v>
      </c>
      <c r="AL369" s="33">
        <v>0.14099999999999999</v>
      </c>
      <c r="AM369" s="3" t="s">
        <v>3054</v>
      </c>
      <c r="AN369" s="12" t="s">
        <v>1424</v>
      </c>
      <c r="AO369" s="12" t="s">
        <v>1424</v>
      </c>
      <c r="AP369" s="12" t="str">
        <f>"147150828677414"</f>
        <v>147150828677414</v>
      </c>
      <c r="AQ369" s="12" t="s">
        <v>1425</v>
      </c>
      <c r="AR369" s="12" t="s">
        <v>1426</v>
      </c>
      <c r="AS369" s="12" t="s">
        <v>1427</v>
      </c>
      <c r="AT369" s="12"/>
      <c r="AU369" s="12" t="s">
        <v>324</v>
      </c>
      <c r="AV369" s="12"/>
      <c r="AW369" s="12">
        <v>1918</v>
      </c>
      <c r="AX369" s="12">
        <v>0</v>
      </c>
      <c r="AY369" s="12">
        <v>530</v>
      </c>
      <c r="AZ369" s="12">
        <v>0</v>
      </c>
      <c r="BA369" s="12" t="s">
        <v>1428</v>
      </c>
      <c r="BB369" s="12" t="s">
        <v>7345</v>
      </c>
      <c r="BC369" s="12" t="s">
        <v>7346</v>
      </c>
      <c r="BD369" s="12"/>
      <c r="BE369" s="12" t="s">
        <v>2291</v>
      </c>
      <c r="BF369" s="12"/>
      <c r="BG369" s="12"/>
      <c r="BH369" s="12"/>
      <c r="BI369" s="12" t="s">
        <v>4959</v>
      </c>
      <c r="BJ369" s="12"/>
      <c r="BK369" s="12"/>
      <c r="BL369" s="12" t="s">
        <v>2292</v>
      </c>
      <c r="BM369" s="12" t="s">
        <v>2292</v>
      </c>
      <c r="BN369" s="12" t="s">
        <v>2292</v>
      </c>
      <c r="BO369" s="12" t="s">
        <v>2291</v>
      </c>
      <c r="BP369" s="12"/>
      <c r="BQ369" s="12"/>
      <c r="BR369" s="12"/>
      <c r="BS369" s="12"/>
      <c r="BT369" s="12" t="s">
        <v>1429</v>
      </c>
      <c r="BU369" s="12"/>
      <c r="BV369" s="12"/>
      <c r="BW369" s="12" t="s">
        <v>3055</v>
      </c>
      <c r="BX369" s="12"/>
      <c r="BY369" s="13" t="s">
        <v>313</v>
      </c>
      <c r="BZ369" s="13" t="s">
        <v>6170</v>
      </c>
      <c r="CA369" s="13" t="s">
        <v>6170</v>
      </c>
      <c r="CB369" s="13" t="s">
        <v>6197</v>
      </c>
      <c r="CC369" s="13"/>
      <c r="CD369" s="13" t="s">
        <v>6198</v>
      </c>
      <c r="CE369" s="13"/>
      <c r="CF369" s="13"/>
    </row>
    <row r="370" spans="1:84" ht="18.600000000000001" customHeight="1" x14ac:dyDescent="0.25">
      <c r="A370" s="60" t="s">
        <v>138</v>
      </c>
      <c r="B370" s="2" t="s">
        <v>5014</v>
      </c>
      <c r="C370" s="3" t="s">
        <v>5015</v>
      </c>
      <c r="D370" s="12" t="s">
        <v>5017</v>
      </c>
      <c r="E370" s="12" t="s">
        <v>5016</v>
      </c>
      <c r="F370" s="12" t="s">
        <v>5104</v>
      </c>
      <c r="G370" s="25">
        <v>12295397</v>
      </c>
      <c r="H370" s="25">
        <v>7806964</v>
      </c>
      <c r="I370" s="25">
        <v>1216779</v>
      </c>
      <c r="J370" s="25">
        <v>1933327</v>
      </c>
      <c r="K370" s="25">
        <v>124259543</v>
      </c>
      <c r="L370" s="25">
        <v>91570720</v>
      </c>
      <c r="M370" s="25">
        <v>215830263</v>
      </c>
      <c r="N370" s="31">
        <v>0.57999999999999996</v>
      </c>
      <c r="O370" s="25">
        <v>6574359</v>
      </c>
      <c r="P370" s="25">
        <v>11350349</v>
      </c>
      <c r="Q370" s="25">
        <v>978619</v>
      </c>
      <c r="R370" s="25">
        <v>62411</v>
      </c>
      <c r="S370" s="25">
        <v>120027</v>
      </c>
      <c r="T370" s="25">
        <v>66558</v>
      </c>
      <c r="U370" s="61">
        <v>99257</v>
      </c>
      <c r="V370" s="58">
        <v>7.0000000000000001E-3</v>
      </c>
      <c r="W370" s="33">
        <v>9.4999999999999998E-3</v>
      </c>
      <c r="X370" s="33">
        <v>5.1000000000000004E-3</v>
      </c>
      <c r="Y370" s="33">
        <v>1.37E-2</v>
      </c>
      <c r="Z370" s="33">
        <v>6.3E-3</v>
      </c>
      <c r="AA370" s="33">
        <v>3.3E-3</v>
      </c>
      <c r="AB370" s="25">
        <v>1265</v>
      </c>
      <c r="AC370" s="25">
        <v>269</v>
      </c>
      <c r="AD370" s="25">
        <v>37</v>
      </c>
      <c r="AE370" s="25">
        <v>44</v>
      </c>
      <c r="AF370" s="25">
        <v>814</v>
      </c>
      <c r="AG370" s="25">
        <v>90</v>
      </c>
      <c r="AH370" s="25">
        <v>11</v>
      </c>
      <c r="AI370" s="12">
        <v>2.88</v>
      </c>
      <c r="AJ370" s="25">
        <v>2115271</v>
      </c>
      <c r="AK370" s="25">
        <v>2005236</v>
      </c>
      <c r="AL370" s="33">
        <v>18.223600000000001</v>
      </c>
      <c r="AM370" s="3" t="s">
        <v>5015</v>
      </c>
      <c r="AN370" s="12" t="s">
        <v>5016</v>
      </c>
      <c r="AO370" s="12" t="s">
        <v>5016</v>
      </c>
      <c r="AP370" s="12" t="str">
        <f>"1535230416709539"</f>
        <v>1535230416709539</v>
      </c>
      <c r="AQ370" s="12" t="s">
        <v>5017</v>
      </c>
      <c r="AR370" s="12" t="s">
        <v>1430</v>
      </c>
      <c r="AS370" s="12" t="s">
        <v>5018</v>
      </c>
      <c r="AT370" s="12"/>
      <c r="AU370" s="12" t="s">
        <v>309</v>
      </c>
      <c r="AV370" s="12"/>
      <c r="AW370" s="12"/>
      <c r="AX370" s="12">
        <v>0</v>
      </c>
      <c r="AY370" s="12">
        <v>104040</v>
      </c>
      <c r="AZ370" s="12">
        <v>0</v>
      </c>
      <c r="BA370" s="12" t="s">
        <v>5276</v>
      </c>
      <c r="BB370" s="12"/>
      <c r="BC370" s="12" t="s">
        <v>6518</v>
      </c>
      <c r="BD370" s="12" t="s">
        <v>5277</v>
      </c>
      <c r="BE370" s="12" t="s">
        <v>2291</v>
      </c>
      <c r="BF370" s="12"/>
      <c r="BG370" s="12"/>
      <c r="BH370" s="12"/>
      <c r="BI370" s="12"/>
      <c r="BJ370" s="12"/>
      <c r="BK370" s="12"/>
      <c r="BL370" s="12" t="s">
        <v>2292</v>
      </c>
      <c r="BM370" s="12" t="s">
        <v>2292</v>
      </c>
      <c r="BN370" s="12" t="s">
        <v>2292</v>
      </c>
      <c r="BO370" s="12" t="s">
        <v>2291</v>
      </c>
      <c r="BP370" s="12"/>
      <c r="BQ370" s="12"/>
      <c r="BR370" s="12"/>
      <c r="BS370" s="12"/>
      <c r="BT370" s="12"/>
      <c r="BU370" s="12"/>
      <c r="BV370" s="12"/>
      <c r="BW370" s="12"/>
      <c r="BX370" s="12"/>
      <c r="BY370" s="13" t="s">
        <v>313</v>
      </c>
      <c r="BZ370" s="13" t="s">
        <v>6171</v>
      </c>
      <c r="CA370" s="13"/>
      <c r="CB370" s="13"/>
      <c r="CC370" s="13"/>
      <c r="CD370" s="13"/>
      <c r="CE370" s="13"/>
      <c r="CF370" s="13"/>
    </row>
    <row r="371" spans="1:84" ht="18.600000000000001" customHeight="1" x14ac:dyDescent="0.25">
      <c r="A371" s="60" t="s">
        <v>138</v>
      </c>
      <c r="B371" s="2" t="s">
        <v>314</v>
      </c>
      <c r="C371" s="3" t="s">
        <v>2459</v>
      </c>
      <c r="D371" s="12" t="s">
        <v>1432</v>
      </c>
      <c r="E371" s="12" t="s">
        <v>1431</v>
      </c>
      <c r="F371" s="12" t="s">
        <v>4034</v>
      </c>
      <c r="G371" s="25">
        <v>704372</v>
      </c>
      <c r="H371" s="25">
        <v>353965</v>
      </c>
      <c r="I371" s="25">
        <v>94999</v>
      </c>
      <c r="J371" s="25">
        <v>149860</v>
      </c>
      <c r="K371" s="25">
        <v>4622930</v>
      </c>
      <c r="L371" s="25">
        <v>8597019</v>
      </c>
      <c r="M371" s="25">
        <v>13219949</v>
      </c>
      <c r="N371" s="31">
        <v>0.35</v>
      </c>
      <c r="O371" s="25">
        <v>653227</v>
      </c>
      <c r="P371" s="25">
        <v>3518236</v>
      </c>
      <c r="Q371" s="25">
        <v>68697</v>
      </c>
      <c r="R371" s="25">
        <v>3785</v>
      </c>
      <c r="S371" s="25">
        <v>5829</v>
      </c>
      <c r="T371" s="25">
        <v>16817</v>
      </c>
      <c r="U371" s="61">
        <v>9900</v>
      </c>
      <c r="V371" s="58">
        <v>3.7000000000000002E-3</v>
      </c>
      <c r="W371" s="33">
        <v>2.3999999999999998E-3</v>
      </c>
      <c r="X371" s="33">
        <v>1.1999999999999999E-3</v>
      </c>
      <c r="Y371" s="33">
        <v>1.6000000000000001E-3</v>
      </c>
      <c r="Z371" s="33">
        <v>1.0699999999999999E-2</v>
      </c>
      <c r="AA371" s="33">
        <v>1.2999999999999999E-3</v>
      </c>
      <c r="AB371" s="25">
        <v>512</v>
      </c>
      <c r="AC371" s="25">
        <v>138</v>
      </c>
      <c r="AD371" s="25">
        <v>37</v>
      </c>
      <c r="AE371" s="25">
        <v>35</v>
      </c>
      <c r="AF371" s="25">
        <v>117</v>
      </c>
      <c r="AG371" s="25">
        <v>31</v>
      </c>
      <c r="AH371" s="25">
        <v>154</v>
      </c>
      <c r="AI371" s="12">
        <v>1.17</v>
      </c>
      <c r="AJ371" s="25">
        <v>413979</v>
      </c>
      <c r="AK371" s="25">
        <v>100791</v>
      </c>
      <c r="AL371" s="33">
        <v>0.32179999999999997</v>
      </c>
      <c r="AM371" s="3" t="s">
        <v>2459</v>
      </c>
      <c r="AN371" s="12" t="s">
        <v>1431</v>
      </c>
      <c r="AO371" s="12" t="s">
        <v>1431</v>
      </c>
      <c r="AP371" s="12" t="str">
        <f>"285829565349"</f>
        <v>285829565349</v>
      </c>
      <c r="AQ371" s="12" t="s">
        <v>1432</v>
      </c>
      <c r="AR371" s="12" t="s">
        <v>1430</v>
      </c>
      <c r="AS371" s="12" t="s">
        <v>1433</v>
      </c>
      <c r="AT371" s="12"/>
      <c r="AU371" s="12" t="s">
        <v>5257</v>
      </c>
      <c r="AV371" s="12" t="s">
        <v>5810</v>
      </c>
      <c r="AW371" s="12"/>
      <c r="AX371" s="12">
        <v>64852</v>
      </c>
      <c r="AY371" s="12">
        <v>3471</v>
      </c>
      <c r="AZ371" s="12">
        <v>0</v>
      </c>
      <c r="BA371" s="12" t="s">
        <v>1434</v>
      </c>
      <c r="BB371" s="12" t="s">
        <v>6501</v>
      </c>
      <c r="BC371" s="12" t="s">
        <v>6502</v>
      </c>
      <c r="BD371" s="12"/>
      <c r="BE371" s="12" t="s">
        <v>2291</v>
      </c>
      <c r="BF371" s="12"/>
      <c r="BG371" s="12"/>
      <c r="BH371" s="12"/>
      <c r="BI371" s="12" t="s">
        <v>5273</v>
      </c>
      <c r="BJ371" s="12" t="s">
        <v>5274</v>
      </c>
      <c r="BK371" s="12"/>
      <c r="BL371" s="12" t="s">
        <v>2292</v>
      </c>
      <c r="BM371" s="12" t="s">
        <v>2292</v>
      </c>
      <c r="BN371" s="12" t="s">
        <v>2292</v>
      </c>
      <c r="BO371" s="12" t="s">
        <v>2291</v>
      </c>
      <c r="BP371" s="12"/>
      <c r="BQ371" s="12"/>
      <c r="BR371" s="12"/>
      <c r="BS371" s="12"/>
      <c r="BT371" s="12">
        <v>142928100</v>
      </c>
      <c r="BU371" s="12" t="s">
        <v>326</v>
      </c>
      <c r="BV371" s="12"/>
      <c r="BW371" s="12" t="s">
        <v>4545</v>
      </c>
      <c r="BX371" s="12"/>
      <c r="BY371" s="13" t="s">
        <v>313</v>
      </c>
      <c r="BZ371" s="13" t="s">
        <v>6172</v>
      </c>
      <c r="CA371" s="13"/>
      <c r="CB371" s="13"/>
      <c r="CC371" s="13"/>
      <c r="CD371" s="13"/>
      <c r="CE371" s="13" t="s">
        <v>6180</v>
      </c>
      <c r="CF371" s="13"/>
    </row>
    <row r="372" spans="1:84" ht="18.600000000000001" customHeight="1" x14ac:dyDescent="0.25">
      <c r="A372" s="60" t="s">
        <v>138</v>
      </c>
      <c r="B372" s="2" t="s">
        <v>5019</v>
      </c>
      <c r="C372" s="3" t="s">
        <v>5020</v>
      </c>
      <c r="D372" s="12" t="s">
        <v>5099</v>
      </c>
      <c r="E372" s="12" t="s">
        <v>5100</v>
      </c>
      <c r="F372" s="12" t="s">
        <v>5101</v>
      </c>
      <c r="G372" s="25">
        <v>242556</v>
      </c>
      <c r="H372" s="25">
        <v>121149</v>
      </c>
      <c r="I372" s="25">
        <v>56636</v>
      </c>
      <c r="J372" s="25">
        <v>40212</v>
      </c>
      <c r="K372" s="25">
        <v>1918133</v>
      </c>
      <c r="L372" s="25">
        <v>2715540</v>
      </c>
      <c r="M372" s="25">
        <v>4633673</v>
      </c>
      <c r="N372" s="31">
        <v>0.41</v>
      </c>
      <c r="O372" s="25">
        <v>155808</v>
      </c>
      <c r="P372" s="25">
        <v>604890</v>
      </c>
      <c r="Q372" s="25">
        <v>13471</v>
      </c>
      <c r="R372" s="25">
        <v>1088</v>
      </c>
      <c r="S372" s="25">
        <v>1595</v>
      </c>
      <c r="T372" s="25">
        <v>2543</v>
      </c>
      <c r="U372" s="61">
        <v>5862</v>
      </c>
      <c r="V372" s="58">
        <v>1.8700000000000001E-2</v>
      </c>
      <c r="W372" s="33">
        <v>1.7399999999999999E-2</v>
      </c>
      <c r="X372" s="33">
        <v>1.0999999999999999E-2</v>
      </c>
      <c r="Y372" s="33">
        <v>2.1100000000000001E-2</v>
      </c>
      <c r="Z372" s="33">
        <v>2.1700000000000001E-2</v>
      </c>
      <c r="AA372" s="33">
        <v>3.61E-2</v>
      </c>
      <c r="AB372" s="25">
        <v>445</v>
      </c>
      <c r="AC372" s="25">
        <v>116</v>
      </c>
      <c r="AD372" s="25">
        <v>16</v>
      </c>
      <c r="AE372" s="25">
        <v>7</v>
      </c>
      <c r="AF372" s="25">
        <v>265</v>
      </c>
      <c r="AG372" s="25">
        <v>40</v>
      </c>
      <c r="AH372" s="25">
        <v>1</v>
      </c>
      <c r="AI372" s="12">
        <v>1.01</v>
      </c>
      <c r="AJ372" s="25">
        <v>49066</v>
      </c>
      <c r="AK372" s="25">
        <v>0</v>
      </c>
      <c r="AL372" s="31">
        <v>0</v>
      </c>
      <c r="AM372" s="3" t="s">
        <v>5020</v>
      </c>
      <c r="AN372" s="12" t="s">
        <v>5100</v>
      </c>
      <c r="AO372" s="12" t="s">
        <v>5100</v>
      </c>
      <c r="AP372" s="12" t="str">
        <f>"2109784355914899"</f>
        <v>2109784355914899</v>
      </c>
      <c r="AQ372" s="12" t="s">
        <v>5099</v>
      </c>
      <c r="AR372" s="12" t="s">
        <v>1435</v>
      </c>
      <c r="AS372" s="12" t="s">
        <v>5264</v>
      </c>
      <c r="AT372" s="12"/>
      <c r="AU372" s="12" t="s">
        <v>309</v>
      </c>
      <c r="AV372" s="12"/>
      <c r="AW372" s="12"/>
      <c r="AX372" s="12">
        <v>0</v>
      </c>
      <c r="AY372" s="12">
        <v>5795</v>
      </c>
      <c r="AZ372" s="12">
        <v>0</v>
      </c>
      <c r="BA372" s="12" t="s">
        <v>5265</v>
      </c>
      <c r="BB372" s="12"/>
      <c r="BC372" s="12" t="s">
        <v>6491</v>
      </c>
      <c r="BD372" s="12"/>
      <c r="BE372" s="12" t="s">
        <v>2291</v>
      </c>
      <c r="BF372" s="12"/>
      <c r="BG372" s="12"/>
      <c r="BH372" s="12"/>
      <c r="BI372" s="12"/>
      <c r="BJ372" s="12"/>
      <c r="BK372" s="12"/>
      <c r="BL372" s="12" t="s">
        <v>2292</v>
      </c>
      <c r="BM372" s="12" t="s">
        <v>2292</v>
      </c>
      <c r="BN372" s="12" t="s">
        <v>2292</v>
      </c>
      <c r="BO372" s="12" t="s">
        <v>2291</v>
      </c>
      <c r="BP372" s="12"/>
      <c r="BQ372" s="12"/>
      <c r="BR372" s="12"/>
      <c r="BS372" s="12"/>
      <c r="BT372" s="12"/>
      <c r="BU372" s="12"/>
      <c r="BV372" s="12"/>
      <c r="BW372" s="12"/>
      <c r="BX372" s="12"/>
      <c r="BY372" s="13" t="s">
        <v>313</v>
      </c>
      <c r="BZ372" s="13" t="s">
        <v>6172</v>
      </c>
      <c r="CA372" s="13" t="s">
        <v>6170</v>
      </c>
      <c r="CB372" s="13" t="s">
        <v>6197</v>
      </c>
      <c r="CC372" s="13"/>
      <c r="CD372" s="13" t="s">
        <v>6198</v>
      </c>
      <c r="CE372" s="13"/>
      <c r="CF372" s="13"/>
    </row>
    <row r="373" spans="1:84" ht="18.600000000000001" customHeight="1" x14ac:dyDescent="0.25">
      <c r="A373" s="60" t="s">
        <v>138</v>
      </c>
      <c r="B373" s="2" t="s">
        <v>315</v>
      </c>
      <c r="C373" s="3" t="s">
        <v>2533</v>
      </c>
      <c r="D373" s="12" t="s">
        <v>1436</v>
      </c>
      <c r="E373" s="12" t="s">
        <v>1437</v>
      </c>
      <c r="F373" s="12" t="s">
        <v>4078</v>
      </c>
      <c r="G373" s="25">
        <v>772289</v>
      </c>
      <c r="H373" s="25">
        <v>309009</v>
      </c>
      <c r="I373" s="25">
        <v>31165</v>
      </c>
      <c r="J373" s="25">
        <v>365943</v>
      </c>
      <c r="K373" s="25">
        <v>21413261</v>
      </c>
      <c r="L373" s="25">
        <v>2977254</v>
      </c>
      <c r="M373" s="25">
        <v>24390515</v>
      </c>
      <c r="N373" s="31">
        <v>0.88</v>
      </c>
      <c r="O373" s="25">
        <v>626563</v>
      </c>
      <c r="P373" s="25">
        <v>84750</v>
      </c>
      <c r="Q373" s="25">
        <v>18364</v>
      </c>
      <c r="R373" s="25">
        <v>2557</v>
      </c>
      <c r="S373" s="25">
        <v>10534</v>
      </c>
      <c r="T373" s="25">
        <v>21423</v>
      </c>
      <c r="U373" s="61">
        <v>13222</v>
      </c>
      <c r="V373" s="58">
        <v>1.8E-3</v>
      </c>
      <c r="W373" s="33">
        <v>1.8E-3</v>
      </c>
      <c r="X373" s="33">
        <v>8.0000000000000004E-4</v>
      </c>
      <c r="Y373" s="33">
        <v>2.0000000000000001E-4</v>
      </c>
      <c r="Z373" s="33">
        <v>3.7000000000000002E-3</v>
      </c>
      <c r="AA373" s="33">
        <v>2.9999999999999997E-4</v>
      </c>
      <c r="AB373" s="25">
        <v>1567</v>
      </c>
      <c r="AC373" s="25">
        <v>890</v>
      </c>
      <c r="AD373" s="25">
        <v>268</v>
      </c>
      <c r="AE373" s="25">
        <v>8</v>
      </c>
      <c r="AF373" s="25">
        <v>246</v>
      </c>
      <c r="AG373" s="25">
        <v>117</v>
      </c>
      <c r="AH373" s="25">
        <v>38</v>
      </c>
      <c r="AI373" s="12">
        <v>3.57</v>
      </c>
      <c r="AJ373" s="25">
        <v>290249</v>
      </c>
      <c r="AK373" s="25">
        <v>53557</v>
      </c>
      <c r="AL373" s="33">
        <v>0.2263</v>
      </c>
      <c r="AM373" s="3" t="s">
        <v>2533</v>
      </c>
      <c r="AN373" s="12" t="s">
        <v>1437</v>
      </c>
      <c r="AO373" s="12" t="s">
        <v>1437</v>
      </c>
      <c r="AP373" s="12" t="str">
        <f>"392341217527576"</f>
        <v>392341217527576</v>
      </c>
      <c r="AQ373" s="12" t="s">
        <v>1436</v>
      </c>
      <c r="AR373" s="12" t="s">
        <v>1435</v>
      </c>
      <c r="AS373" s="12" t="s">
        <v>2534</v>
      </c>
      <c r="AT373" s="12"/>
      <c r="AU373" s="12" t="s">
        <v>324</v>
      </c>
      <c r="AV373" s="12"/>
      <c r="AW373" s="12"/>
      <c r="AX373" s="12">
        <v>0</v>
      </c>
      <c r="AY373" s="12">
        <v>6813</v>
      </c>
      <c r="AZ373" s="12">
        <v>0</v>
      </c>
      <c r="BA373" s="12" t="s">
        <v>1438</v>
      </c>
      <c r="BB373" s="12"/>
      <c r="BC373" s="12" t="s">
        <v>6604</v>
      </c>
      <c r="BD373" s="12"/>
      <c r="BE373" s="12" t="s">
        <v>2291</v>
      </c>
      <c r="BF373" s="12"/>
      <c r="BG373" s="12"/>
      <c r="BH373" s="12"/>
      <c r="BI373" s="12"/>
      <c r="BJ373" s="12" t="s">
        <v>1439</v>
      </c>
      <c r="BK373" s="12"/>
      <c r="BL373" s="12" t="s">
        <v>2292</v>
      </c>
      <c r="BM373" s="12" t="s">
        <v>2292</v>
      </c>
      <c r="BN373" s="12" t="s">
        <v>2292</v>
      </c>
      <c r="BO373" s="12" t="s">
        <v>2291</v>
      </c>
      <c r="BP373" s="12"/>
      <c r="BQ373" s="12"/>
      <c r="BR373" s="12"/>
      <c r="BS373" s="12"/>
      <c r="BT373" s="12"/>
      <c r="BU373" s="12"/>
      <c r="BV373" s="12"/>
      <c r="BW373" s="12"/>
      <c r="BX373" s="12"/>
      <c r="BY373" s="13" t="s">
        <v>313</v>
      </c>
      <c r="BZ373" s="13" t="s">
        <v>312</v>
      </c>
      <c r="CA373" s="13"/>
      <c r="CB373" s="13"/>
      <c r="CC373" s="13"/>
      <c r="CD373" s="13"/>
      <c r="CE373" s="13"/>
      <c r="CF373" s="13"/>
    </row>
    <row r="374" spans="1:84" ht="18.600000000000001" customHeight="1" x14ac:dyDescent="0.25">
      <c r="A374" s="60" t="s">
        <v>138</v>
      </c>
      <c r="B374" s="2" t="s">
        <v>315</v>
      </c>
      <c r="C374" s="3" t="s">
        <v>3128</v>
      </c>
      <c r="D374" s="12" t="s">
        <v>1448</v>
      </c>
      <c r="E374" s="12" t="s">
        <v>1449</v>
      </c>
      <c r="F374" s="12" t="s">
        <v>4165</v>
      </c>
      <c r="G374" s="25">
        <v>0</v>
      </c>
      <c r="H374" s="25">
        <v>0</v>
      </c>
      <c r="I374" s="25">
        <v>0</v>
      </c>
      <c r="J374" s="25">
        <v>0</v>
      </c>
      <c r="K374" s="25">
        <v>0</v>
      </c>
      <c r="L374" s="25">
        <v>0</v>
      </c>
      <c r="M374" s="25">
        <v>0</v>
      </c>
      <c r="N374" s="31">
        <v>0</v>
      </c>
      <c r="O374" s="25">
        <v>0</v>
      </c>
      <c r="P374" s="25">
        <v>0</v>
      </c>
      <c r="Q374" s="25">
        <v>0</v>
      </c>
      <c r="R374" s="25">
        <v>0</v>
      </c>
      <c r="S374" s="25">
        <v>0</v>
      </c>
      <c r="T374" s="25">
        <v>0</v>
      </c>
      <c r="U374" s="61">
        <v>0</v>
      </c>
      <c r="V374" s="59"/>
      <c r="W374" s="12" t="s">
        <v>3926</v>
      </c>
      <c r="X374" s="12" t="s">
        <v>3926</v>
      </c>
      <c r="Y374" s="12" t="s">
        <v>3926</v>
      </c>
      <c r="Z374" s="12" t="s">
        <v>3926</v>
      </c>
      <c r="AA374" s="12" t="s">
        <v>3926</v>
      </c>
      <c r="AB374" s="25" t="s">
        <v>3927</v>
      </c>
      <c r="AC374" s="25">
        <v>0</v>
      </c>
      <c r="AD374" s="25">
        <v>0</v>
      </c>
      <c r="AE374" s="25">
        <v>0</v>
      </c>
      <c r="AF374" s="25">
        <v>0</v>
      </c>
      <c r="AG374" s="25">
        <v>0</v>
      </c>
      <c r="AH374" s="25">
        <v>0</v>
      </c>
      <c r="AI374" s="12">
        <v>0</v>
      </c>
      <c r="AJ374" s="25">
        <v>25051</v>
      </c>
      <c r="AK374" s="25">
        <v>-75</v>
      </c>
      <c r="AL374" s="33">
        <v>-3.0000000000000001E-3</v>
      </c>
      <c r="AM374" s="3" t="s">
        <v>3128</v>
      </c>
      <c r="AN374" s="12" t="s">
        <v>1449</v>
      </c>
      <c r="AO374" s="12" t="s">
        <v>1449</v>
      </c>
      <c r="AP374" s="12" t="str">
        <f>"271568432950768"</f>
        <v>271568432950768</v>
      </c>
      <c r="AQ374" s="12" t="s">
        <v>1448</v>
      </c>
      <c r="AR374" s="12" t="s">
        <v>1450</v>
      </c>
      <c r="AS374" s="12" t="s">
        <v>1451</v>
      </c>
      <c r="AT374" s="12"/>
      <c r="AU374" s="12" t="s">
        <v>324</v>
      </c>
      <c r="AV374" s="12" t="s">
        <v>5731</v>
      </c>
      <c r="AW374" s="12"/>
      <c r="AX374" s="12">
        <v>6890</v>
      </c>
      <c r="AY374" s="12">
        <v>55</v>
      </c>
      <c r="AZ374" s="12">
        <v>0</v>
      </c>
      <c r="BA374" s="12" t="s">
        <v>1452</v>
      </c>
      <c r="BB374" s="12" t="s">
        <v>6804</v>
      </c>
      <c r="BC374" s="12" t="s">
        <v>6805</v>
      </c>
      <c r="BD374" s="12"/>
      <c r="BE374" s="12" t="s">
        <v>2291</v>
      </c>
      <c r="BF374" s="12"/>
      <c r="BG374" s="12"/>
      <c r="BH374" s="12"/>
      <c r="BI374" s="12" t="s">
        <v>3108</v>
      </c>
      <c r="BJ374" s="12" t="s">
        <v>3109</v>
      </c>
      <c r="BK374" s="12"/>
      <c r="BL374" s="12" t="s">
        <v>2292</v>
      </c>
      <c r="BM374" s="12" t="s">
        <v>2292</v>
      </c>
      <c r="BN374" s="12" t="s">
        <v>2292</v>
      </c>
      <c r="BO374" s="12" t="s">
        <v>2291</v>
      </c>
      <c r="BP374" s="12"/>
      <c r="BQ374" s="12"/>
      <c r="BR374" s="12"/>
      <c r="BS374" s="12"/>
      <c r="BT374" s="12" t="s">
        <v>3785</v>
      </c>
      <c r="BU374" s="12" t="s">
        <v>326</v>
      </c>
      <c r="BV374" s="12"/>
      <c r="BW374" s="12" t="s">
        <v>1443</v>
      </c>
      <c r="BX374" s="12"/>
      <c r="BY374" s="14" t="s">
        <v>1453</v>
      </c>
      <c r="BZ374" s="13" t="s">
        <v>312</v>
      </c>
      <c r="CA374" s="13"/>
      <c r="CB374" s="13"/>
      <c r="CC374" s="13"/>
      <c r="CD374" s="13"/>
      <c r="CE374" s="13"/>
      <c r="CF374" s="13"/>
    </row>
    <row r="375" spans="1:84" ht="18.600000000000001" customHeight="1" x14ac:dyDescent="0.25">
      <c r="A375" s="60" t="s">
        <v>138</v>
      </c>
      <c r="B375" s="2" t="s">
        <v>5021</v>
      </c>
      <c r="C375" s="3" t="s">
        <v>5022</v>
      </c>
      <c r="D375" s="12" t="s">
        <v>5023</v>
      </c>
      <c r="E375" s="12" t="s">
        <v>5112</v>
      </c>
      <c r="F375" s="12" t="s">
        <v>5113</v>
      </c>
      <c r="G375" s="25">
        <v>0</v>
      </c>
      <c r="H375" s="25">
        <v>0</v>
      </c>
      <c r="I375" s="25">
        <v>0</v>
      </c>
      <c r="J375" s="25">
        <v>0</v>
      </c>
      <c r="K375" s="25">
        <v>0</v>
      </c>
      <c r="L375" s="25">
        <v>0</v>
      </c>
      <c r="M375" s="25">
        <v>0</v>
      </c>
      <c r="N375" s="31">
        <v>0</v>
      </c>
      <c r="O375" s="25">
        <v>0</v>
      </c>
      <c r="P375" s="25">
        <v>0</v>
      </c>
      <c r="Q375" s="25">
        <v>0</v>
      </c>
      <c r="R375" s="25">
        <v>0</v>
      </c>
      <c r="S375" s="25">
        <v>0</v>
      </c>
      <c r="T375" s="25">
        <v>0</v>
      </c>
      <c r="U375" s="61">
        <v>0</v>
      </c>
      <c r="V375" s="59"/>
      <c r="W375" s="12" t="s">
        <v>3926</v>
      </c>
      <c r="X375" s="12" t="s">
        <v>3926</v>
      </c>
      <c r="Y375" s="12" t="s">
        <v>3926</v>
      </c>
      <c r="Z375" s="12" t="s">
        <v>3926</v>
      </c>
      <c r="AA375" s="12" t="s">
        <v>3926</v>
      </c>
      <c r="AB375" s="25" t="s">
        <v>3927</v>
      </c>
      <c r="AC375" s="25">
        <v>0</v>
      </c>
      <c r="AD375" s="25">
        <v>0</v>
      </c>
      <c r="AE375" s="25">
        <v>0</v>
      </c>
      <c r="AF375" s="25">
        <v>0</v>
      </c>
      <c r="AG375" s="25">
        <v>0</v>
      </c>
      <c r="AH375" s="25">
        <v>0</v>
      </c>
      <c r="AI375" s="12">
        <v>0</v>
      </c>
      <c r="AJ375" s="25">
        <v>3577</v>
      </c>
      <c r="AK375" s="25">
        <v>0</v>
      </c>
      <c r="AL375" s="31">
        <v>0</v>
      </c>
      <c r="AM375" s="3" t="s">
        <v>5022</v>
      </c>
      <c r="AN375" s="12" t="s">
        <v>5112</v>
      </c>
      <c r="AO375" s="12" t="s">
        <v>5112</v>
      </c>
      <c r="AP375" s="12" t="str">
        <f>"939521139445638"</f>
        <v>939521139445638</v>
      </c>
      <c r="AQ375" s="12" t="s">
        <v>5023</v>
      </c>
      <c r="AR375" s="12" t="s">
        <v>5324</v>
      </c>
      <c r="AS375" s="12" t="s">
        <v>5325</v>
      </c>
      <c r="AT375" s="12"/>
      <c r="AU375" s="12" t="s">
        <v>309</v>
      </c>
      <c r="AV375" s="12"/>
      <c r="AW375" s="12"/>
      <c r="AX375" s="12">
        <v>0</v>
      </c>
      <c r="AY375" s="12">
        <v>28</v>
      </c>
      <c r="AZ375" s="12">
        <v>0</v>
      </c>
      <c r="BA375" s="12" t="s">
        <v>5326</v>
      </c>
      <c r="BB375" s="12"/>
      <c r="BC375" s="12" t="s">
        <v>6716</v>
      </c>
      <c r="BD375" s="12"/>
      <c r="BE375" s="12" t="s">
        <v>2291</v>
      </c>
      <c r="BF375" s="12"/>
      <c r="BG375" s="12"/>
      <c r="BH375" s="12"/>
      <c r="BI375" s="12"/>
      <c r="BJ375" s="12"/>
      <c r="BK375" s="12"/>
      <c r="BL375" s="12" t="s">
        <v>2292</v>
      </c>
      <c r="BM375" s="12" t="s">
        <v>2292</v>
      </c>
      <c r="BN375" s="12" t="s">
        <v>2292</v>
      </c>
      <c r="BO375" s="12" t="s">
        <v>2292</v>
      </c>
      <c r="BP375" s="12"/>
      <c r="BQ375" s="12"/>
      <c r="BR375" s="12"/>
      <c r="BS375" s="12"/>
      <c r="BT375" s="12"/>
      <c r="BU375" s="12"/>
      <c r="BV375" s="12"/>
      <c r="BW375" s="12"/>
      <c r="BX375" s="12"/>
      <c r="BY375" s="18" t="s">
        <v>344</v>
      </c>
      <c r="BZ375" s="13" t="s">
        <v>6170</v>
      </c>
      <c r="CA375" s="13" t="s">
        <v>6170</v>
      </c>
      <c r="CB375" s="13" t="s">
        <v>312</v>
      </c>
      <c r="CC375" s="13"/>
      <c r="CD375" s="13" t="s">
        <v>6198</v>
      </c>
      <c r="CE375" s="13"/>
      <c r="CF375" s="13"/>
    </row>
    <row r="376" spans="1:84" ht="18.600000000000001" customHeight="1" x14ac:dyDescent="0.25">
      <c r="A376" s="60" t="s">
        <v>138</v>
      </c>
      <c r="B376" s="2" t="s">
        <v>335</v>
      </c>
      <c r="C376" s="3" t="s">
        <v>2506</v>
      </c>
      <c r="D376" s="12" t="s">
        <v>1440</v>
      </c>
      <c r="E376" s="12" t="s">
        <v>1441</v>
      </c>
      <c r="F376" s="12" t="s">
        <v>4059</v>
      </c>
      <c r="G376" s="25">
        <v>244634</v>
      </c>
      <c r="H376" s="25">
        <v>169003</v>
      </c>
      <c r="I376" s="25">
        <v>11114</v>
      </c>
      <c r="J376" s="25">
        <v>48140</v>
      </c>
      <c r="K376" s="25">
        <v>1018170</v>
      </c>
      <c r="L376" s="25">
        <v>609384</v>
      </c>
      <c r="M376" s="25">
        <v>1627554</v>
      </c>
      <c r="N376" s="31">
        <v>0.63</v>
      </c>
      <c r="O376" s="25">
        <v>151083</v>
      </c>
      <c r="P376" s="25">
        <v>247083</v>
      </c>
      <c r="Q376" s="25">
        <v>8640</v>
      </c>
      <c r="R376" s="25">
        <v>811</v>
      </c>
      <c r="S376" s="25">
        <v>1073</v>
      </c>
      <c r="T376" s="25">
        <v>3855</v>
      </c>
      <c r="U376" s="61">
        <v>1977</v>
      </c>
      <c r="V376" s="58">
        <v>6.9999999999999999E-4</v>
      </c>
      <c r="W376" s="33">
        <v>8.9999999999999998E-4</v>
      </c>
      <c r="X376" s="33">
        <v>5.0000000000000001E-4</v>
      </c>
      <c r="Y376" s="33">
        <v>2.0000000000000001E-4</v>
      </c>
      <c r="Z376" s="33">
        <v>5.0000000000000001E-4</v>
      </c>
      <c r="AA376" s="33">
        <v>2.9999999999999997E-4</v>
      </c>
      <c r="AB376" s="25">
        <v>956</v>
      </c>
      <c r="AC376" s="25">
        <v>524</v>
      </c>
      <c r="AD376" s="25">
        <v>107</v>
      </c>
      <c r="AE376" s="25">
        <v>5</v>
      </c>
      <c r="AF376" s="25">
        <v>252</v>
      </c>
      <c r="AG376" s="25">
        <v>40</v>
      </c>
      <c r="AH376" s="25">
        <v>28</v>
      </c>
      <c r="AI376" s="12">
        <v>2.1800000000000002</v>
      </c>
      <c r="AJ376" s="25">
        <v>367095</v>
      </c>
      <c r="AK376" s="25">
        <v>37168</v>
      </c>
      <c r="AL376" s="33">
        <v>0.11269999999999999</v>
      </c>
      <c r="AM376" s="3" t="s">
        <v>2506</v>
      </c>
      <c r="AN376" s="12" t="s">
        <v>1441</v>
      </c>
      <c r="AO376" s="12" t="s">
        <v>1441</v>
      </c>
      <c r="AP376" s="12" t="str">
        <f>"75042608259"</f>
        <v>75042608259</v>
      </c>
      <c r="AQ376" s="12" t="s">
        <v>1440</v>
      </c>
      <c r="AR376" s="12" t="s">
        <v>2507</v>
      </c>
      <c r="AS376" s="12" t="s">
        <v>5287</v>
      </c>
      <c r="AT376" s="12"/>
      <c r="AU376" s="12" t="s">
        <v>324</v>
      </c>
      <c r="AV376" s="12" t="s">
        <v>5731</v>
      </c>
      <c r="AW376" s="12"/>
      <c r="AX376" s="12">
        <v>338</v>
      </c>
      <c r="AY376" s="12">
        <v>4196</v>
      </c>
      <c r="AZ376" s="12">
        <v>338</v>
      </c>
      <c r="BA376" s="12" t="s">
        <v>1442</v>
      </c>
      <c r="BB376" s="12" t="s">
        <v>6565</v>
      </c>
      <c r="BC376" s="12" t="s">
        <v>6566</v>
      </c>
      <c r="BD376" s="12"/>
      <c r="BE376" s="12" t="s">
        <v>2291</v>
      </c>
      <c r="BF376" s="12"/>
      <c r="BG376" s="12"/>
      <c r="BH376" s="12"/>
      <c r="BI376" s="12" t="s">
        <v>5288</v>
      </c>
      <c r="BJ376" s="12" t="s">
        <v>5569</v>
      </c>
      <c r="BK376" s="12"/>
      <c r="BL376" s="12" t="s">
        <v>2292</v>
      </c>
      <c r="BM376" s="12" t="s">
        <v>2292</v>
      </c>
      <c r="BN376" s="12" t="s">
        <v>2292</v>
      </c>
      <c r="BO376" s="12" t="s">
        <v>2291</v>
      </c>
      <c r="BP376" s="12"/>
      <c r="BQ376" s="12"/>
      <c r="BR376" s="12"/>
      <c r="BS376" s="12"/>
      <c r="BT376" s="12"/>
      <c r="BU376" s="12" t="s">
        <v>326</v>
      </c>
      <c r="BV376" s="12"/>
      <c r="BW376" s="12" t="s">
        <v>4555</v>
      </c>
      <c r="BX376" s="12"/>
      <c r="BY376" s="13" t="s">
        <v>313</v>
      </c>
      <c r="BZ376" s="13" t="s">
        <v>6174</v>
      </c>
      <c r="CA376" s="13"/>
      <c r="CB376" s="13"/>
      <c r="CC376" s="13"/>
      <c r="CD376" s="13"/>
      <c r="CE376" s="13"/>
      <c r="CF376" s="13"/>
    </row>
    <row r="377" spans="1:84" ht="18.600000000000001" customHeight="1" x14ac:dyDescent="0.25">
      <c r="A377" s="60" t="s">
        <v>138</v>
      </c>
      <c r="B377" s="2" t="s">
        <v>335</v>
      </c>
      <c r="C377" s="3" t="s">
        <v>2504</v>
      </c>
      <c r="D377" s="12" t="s">
        <v>1445</v>
      </c>
      <c r="E377" s="12" t="s">
        <v>1444</v>
      </c>
      <c r="F377" s="12" t="s">
        <v>4058</v>
      </c>
      <c r="G377" s="25">
        <v>16234</v>
      </c>
      <c r="H377" s="25">
        <v>9231</v>
      </c>
      <c r="I377" s="25">
        <v>503</v>
      </c>
      <c r="J377" s="25">
        <v>5624</v>
      </c>
      <c r="K377" s="25">
        <v>30261</v>
      </c>
      <c r="L377" s="25">
        <v>101888</v>
      </c>
      <c r="M377" s="25">
        <v>132149</v>
      </c>
      <c r="N377" s="31">
        <v>0.23</v>
      </c>
      <c r="O377" s="25">
        <v>2703</v>
      </c>
      <c r="P377" s="25">
        <v>3026</v>
      </c>
      <c r="Q377" s="25">
        <v>661</v>
      </c>
      <c r="R377" s="25">
        <v>62</v>
      </c>
      <c r="S377" s="25">
        <v>32</v>
      </c>
      <c r="T377" s="25">
        <v>103</v>
      </c>
      <c r="U377" s="61">
        <v>18</v>
      </c>
      <c r="V377" s="58">
        <v>2.2000000000000001E-3</v>
      </c>
      <c r="W377" s="33">
        <v>2E-3</v>
      </c>
      <c r="X377" s="33">
        <v>2.0999999999999999E-3</v>
      </c>
      <c r="Y377" s="33">
        <v>4.0000000000000002E-4</v>
      </c>
      <c r="Z377" s="33">
        <v>3.5000000000000001E-3</v>
      </c>
      <c r="AA377" s="33">
        <v>8.9999999999999998E-4</v>
      </c>
      <c r="AB377" s="25">
        <v>558</v>
      </c>
      <c r="AC377" s="25">
        <v>364</v>
      </c>
      <c r="AD377" s="25">
        <v>47</v>
      </c>
      <c r="AE377" s="25">
        <v>3</v>
      </c>
      <c r="AF377" s="25">
        <v>121</v>
      </c>
      <c r="AG377" s="25">
        <v>14</v>
      </c>
      <c r="AH377" s="25">
        <v>9</v>
      </c>
      <c r="AI377" s="12">
        <v>1.27</v>
      </c>
      <c r="AJ377" s="25">
        <v>15724</v>
      </c>
      <c r="AK377" s="25">
        <v>5685</v>
      </c>
      <c r="AL377" s="33">
        <v>0.56630000000000003</v>
      </c>
      <c r="AM377" s="3" t="s">
        <v>2504</v>
      </c>
      <c r="AN377" s="12" t="s">
        <v>1444</v>
      </c>
      <c r="AO377" s="12" t="s">
        <v>1444</v>
      </c>
      <c r="AP377" s="12" t="str">
        <f>"414266168695509"</f>
        <v>414266168695509</v>
      </c>
      <c r="AQ377" s="12" t="s">
        <v>1445</v>
      </c>
      <c r="AR377" s="12" t="s">
        <v>1446</v>
      </c>
      <c r="AS377" s="12" t="s">
        <v>2505</v>
      </c>
      <c r="AT377" s="12"/>
      <c r="AU377" s="12" t="s">
        <v>324</v>
      </c>
      <c r="AV377" s="12" t="s">
        <v>5731</v>
      </c>
      <c r="AW377" s="12"/>
      <c r="AX377" s="12">
        <v>351</v>
      </c>
      <c r="AY377" s="12">
        <v>371</v>
      </c>
      <c r="AZ377" s="12">
        <v>351</v>
      </c>
      <c r="BA377" s="12" t="s">
        <v>1447</v>
      </c>
      <c r="BB377" s="12" t="s">
        <v>6563</v>
      </c>
      <c r="BC377" s="12" t="s">
        <v>6564</v>
      </c>
      <c r="BD377" s="12"/>
      <c r="BE377" s="12" t="s">
        <v>2291</v>
      </c>
      <c r="BF377" s="12"/>
      <c r="BG377" s="12"/>
      <c r="BH377" s="12"/>
      <c r="BI377" s="12" t="s">
        <v>5286</v>
      </c>
      <c r="BJ377" s="12" t="s">
        <v>5568</v>
      </c>
      <c r="BK377" s="12"/>
      <c r="BL377" s="12" t="s">
        <v>2292</v>
      </c>
      <c r="BM377" s="12" t="s">
        <v>2292</v>
      </c>
      <c r="BN377" s="12" t="s">
        <v>2292</v>
      </c>
      <c r="BO377" s="12" t="s">
        <v>2291</v>
      </c>
      <c r="BP377" s="12"/>
      <c r="BQ377" s="12"/>
      <c r="BR377" s="12"/>
      <c r="BS377" s="12"/>
      <c r="BT377" s="12"/>
      <c r="BU377" s="12" t="s">
        <v>326</v>
      </c>
      <c r="BV377" s="12"/>
      <c r="BW377" s="12" t="s">
        <v>4554</v>
      </c>
      <c r="BX377" s="12"/>
      <c r="BY377" s="13" t="s">
        <v>313</v>
      </c>
      <c r="BZ377" s="13" t="s">
        <v>312</v>
      </c>
      <c r="CA377" s="13"/>
      <c r="CB377" s="13"/>
      <c r="CC377" s="13"/>
      <c r="CD377" s="13"/>
      <c r="CE377" s="13"/>
      <c r="CF377" s="13"/>
    </row>
    <row r="378" spans="1:84" ht="18.600000000000001" customHeight="1" x14ac:dyDescent="0.25">
      <c r="A378" s="60" t="s">
        <v>139</v>
      </c>
      <c r="B378" s="2" t="s">
        <v>4777</v>
      </c>
      <c r="C378" s="3" t="s">
        <v>6228</v>
      </c>
      <c r="D378" s="12" t="s">
        <v>6227</v>
      </c>
      <c r="E378" s="12" t="s">
        <v>6363</v>
      </c>
      <c r="F378" s="12" t="s">
        <v>7429</v>
      </c>
      <c r="G378" s="25">
        <v>168059</v>
      </c>
      <c r="H378" s="25">
        <v>128893</v>
      </c>
      <c r="I378" s="25">
        <v>13938</v>
      </c>
      <c r="J378" s="25">
        <v>14936</v>
      </c>
      <c r="K378" s="25">
        <v>481052</v>
      </c>
      <c r="L378" s="25">
        <v>259716</v>
      </c>
      <c r="M378" s="25">
        <v>740768</v>
      </c>
      <c r="N378" s="31">
        <v>0.65</v>
      </c>
      <c r="O378" s="25">
        <v>27371</v>
      </c>
      <c r="P378" s="25">
        <v>32550</v>
      </c>
      <c r="Q378" s="25">
        <v>5700</v>
      </c>
      <c r="R378" s="25">
        <v>790</v>
      </c>
      <c r="S378" s="25">
        <v>479</v>
      </c>
      <c r="T378" s="25">
        <v>2655</v>
      </c>
      <c r="U378" s="61">
        <v>668</v>
      </c>
      <c r="V378" s="58">
        <v>1.23E-2</v>
      </c>
      <c r="W378" s="33">
        <v>1.2800000000000001E-2</v>
      </c>
      <c r="X378" s="33">
        <v>6.4999999999999997E-3</v>
      </c>
      <c r="Y378" s="33">
        <v>2.3199999999999998E-2</v>
      </c>
      <c r="Z378" s="33">
        <v>1.7100000000000001E-2</v>
      </c>
      <c r="AA378" s="33">
        <v>2.3E-3</v>
      </c>
      <c r="AB378" s="25">
        <v>312</v>
      </c>
      <c r="AC378" s="25">
        <v>248</v>
      </c>
      <c r="AD378" s="25">
        <v>12</v>
      </c>
      <c r="AE378" s="25">
        <v>8</v>
      </c>
      <c r="AF378" s="25">
        <v>39</v>
      </c>
      <c r="AG378" s="25">
        <v>4</v>
      </c>
      <c r="AH378" s="25">
        <v>1</v>
      </c>
      <c r="AI378" s="12">
        <v>0.71</v>
      </c>
      <c r="AJ378" s="25">
        <v>52801</v>
      </c>
      <c r="AK378" s="25">
        <v>0</v>
      </c>
      <c r="AL378" s="31">
        <v>0</v>
      </c>
      <c r="AM378" s="3" t="s">
        <v>6228</v>
      </c>
      <c r="AN378" s="12" t="s">
        <v>6363</v>
      </c>
      <c r="AO378" s="12" t="s">
        <v>6363</v>
      </c>
      <c r="AP378" s="12" t="str">
        <f>"431035763934153"</f>
        <v>431035763934153</v>
      </c>
      <c r="AQ378" s="12" t="s">
        <v>6227</v>
      </c>
      <c r="AR378" s="12" t="s">
        <v>6364</v>
      </c>
      <c r="AS378" s="12" t="s">
        <v>6365</v>
      </c>
      <c r="AT378" s="12"/>
      <c r="AU378" s="12" t="s">
        <v>319</v>
      </c>
      <c r="AV378" s="12" t="s">
        <v>5773</v>
      </c>
      <c r="AW378" s="12"/>
      <c r="AX378" s="12">
        <v>121</v>
      </c>
      <c r="AY378" s="12">
        <v>3499</v>
      </c>
      <c r="AZ378" s="12">
        <v>0</v>
      </c>
      <c r="BA378" s="12" t="s">
        <v>6366</v>
      </c>
      <c r="BB378" s="12" t="s">
        <v>6367</v>
      </c>
      <c r="BC378" s="12" t="s">
        <v>6368</v>
      </c>
      <c r="BD378" s="12"/>
      <c r="BE378" s="12" t="s">
        <v>2291</v>
      </c>
      <c r="BF378" s="12"/>
      <c r="BG378" s="12"/>
      <c r="BH378" s="12"/>
      <c r="BI378" s="12" t="s">
        <v>6369</v>
      </c>
      <c r="BJ378" s="12"/>
      <c r="BK378" s="12"/>
      <c r="BL378" s="12" t="s">
        <v>2292</v>
      </c>
      <c r="BM378" s="12" t="s">
        <v>2292</v>
      </c>
      <c r="BN378" s="12" t="s">
        <v>2292</v>
      </c>
      <c r="BO378" s="12" t="s">
        <v>2291</v>
      </c>
      <c r="BP378" s="12"/>
      <c r="BQ378" s="12"/>
      <c r="BR378" s="12"/>
      <c r="BS378" s="12"/>
      <c r="BT378" s="12"/>
      <c r="BU378" s="12" t="s">
        <v>326</v>
      </c>
      <c r="BV378" s="12"/>
      <c r="BW378" s="12" t="s">
        <v>6370</v>
      </c>
      <c r="BX378" s="12"/>
      <c r="BY378" s="1"/>
      <c r="BZ378" s="13" t="s">
        <v>312</v>
      </c>
      <c r="CA378" s="13"/>
      <c r="CB378" s="13"/>
      <c r="CC378" s="13"/>
      <c r="CD378" s="13"/>
      <c r="CE378" s="13"/>
      <c r="CF378" s="13"/>
    </row>
    <row r="379" spans="1:84" ht="18.600000000000001" customHeight="1" x14ac:dyDescent="0.25">
      <c r="A379" s="60" t="s">
        <v>139</v>
      </c>
      <c r="B379" s="2" t="s">
        <v>1459</v>
      </c>
      <c r="C379" s="3" t="s">
        <v>2310</v>
      </c>
      <c r="D379" s="12" t="s">
        <v>1455</v>
      </c>
      <c r="E379" s="12" t="s">
        <v>1454</v>
      </c>
      <c r="F379" s="12" t="s">
        <v>3946</v>
      </c>
      <c r="G379" s="25">
        <v>3342592</v>
      </c>
      <c r="H379" s="25">
        <v>2460526</v>
      </c>
      <c r="I379" s="25">
        <v>432978</v>
      </c>
      <c r="J379" s="25">
        <v>130280</v>
      </c>
      <c r="K379" s="25">
        <v>5537427</v>
      </c>
      <c r="L379" s="25">
        <v>1019300</v>
      </c>
      <c r="M379" s="25">
        <v>6556727</v>
      </c>
      <c r="N379" s="31">
        <v>0.84</v>
      </c>
      <c r="O379" s="25">
        <v>1374497</v>
      </c>
      <c r="P379" s="25">
        <v>980965</v>
      </c>
      <c r="Q379" s="25">
        <v>205679</v>
      </c>
      <c r="R379" s="25">
        <v>7686</v>
      </c>
      <c r="S379" s="25">
        <v>21573</v>
      </c>
      <c r="T379" s="25">
        <v>33838</v>
      </c>
      <c r="U379" s="61">
        <v>46231</v>
      </c>
      <c r="V379" s="58">
        <v>4.5999999999999999E-3</v>
      </c>
      <c r="W379" s="33">
        <v>4.7000000000000002E-3</v>
      </c>
      <c r="X379" s="33">
        <v>2.3E-3</v>
      </c>
      <c r="Y379" s="33">
        <v>4.7000000000000002E-3</v>
      </c>
      <c r="Z379" s="33">
        <v>5.3E-3</v>
      </c>
      <c r="AA379" s="12" t="s">
        <v>3926</v>
      </c>
      <c r="AB379" s="25">
        <v>298</v>
      </c>
      <c r="AC379" s="25">
        <v>179</v>
      </c>
      <c r="AD379" s="25">
        <v>9</v>
      </c>
      <c r="AE379" s="25">
        <v>51</v>
      </c>
      <c r="AF379" s="25">
        <v>42</v>
      </c>
      <c r="AG379" s="25">
        <v>17</v>
      </c>
      <c r="AH379" s="25">
        <v>0</v>
      </c>
      <c r="AI379" s="12">
        <v>0.68</v>
      </c>
      <c r="AJ379" s="25">
        <v>2531501</v>
      </c>
      <c r="AK379" s="25">
        <v>220261</v>
      </c>
      <c r="AL379" s="33">
        <v>9.5299999999999996E-2</v>
      </c>
      <c r="AM379" s="3" t="s">
        <v>2310</v>
      </c>
      <c r="AN379" s="12" t="s">
        <v>1454</v>
      </c>
      <c r="AO379" s="12" t="s">
        <v>1454</v>
      </c>
      <c r="AP379" s="12" t="str">
        <f>"59788447049"</f>
        <v>59788447049</v>
      </c>
      <c r="AQ379" s="12" t="s">
        <v>1455</v>
      </c>
      <c r="AR379" s="12" t="s">
        <v>3532</v>
      </c>
      <c r="AS379" s="12" t="s">
        <v>1456</v>
      </c>
      <c r="AT379" s="12"/>
      <c r="AU379" s="12" t="s">
        <v>309</v>
      </c>
      <c r="AV379" s="12"/>
      <c r="AW379" s="12"/>
      <c r="AX379" s="12">
        <v>0</v>
      </c>
      <c r="AY379" s="12">
        <v>33288</v>
      </c>
      <c r="AZ379" s="12">
        <v>0</v>
      </c>
      <c r="BA379" s="12" t="s">
        <v>1457</v>
      </c>
      <c r="BB379" s="12" t="s">
        <v>5739</v>
      </c>
      <c r="BC379" s="12" t="s">
        <v>6304</v>
      </c>
      <c r="BD379" s="12"/>
      <c r="BE379" s="12" t="s">
        <v>2291</v>
      </c>
      <c r="BF379" s="12"/>
      <c r="BG379" s="12"/>
      <c r="BH379" s="12"/>
      <c r="BI379" s="12"/>
      <c r="BJ379" s="12"/>
      <c r="BK379" s="12"/>
      <c r="BL379" s="12" t="s">
        <v>2292</v>
      </c>
      <c r="BM379" s="12" t="s">
        <v>2292</v>
      </c>
      <c r="BN379" s="12" t="s">
        <v>2292</v>
      </c>
      <c r="BO379" s="12" t="s">
        <v>2291</v>
      </c>
      <c r="BP379" s="12"/>
      <c r="BQ379" s="12"/>
      <c r="BR379" s="12"/>
      <c r="BS379" s="12"/>
      <c r="BT379" s="12"/>
      <c r="BU379" s="12"/>
      <c r="BV379" s="12"/>
      <c r="BW379" s="12" t="s">
        <v>1458</v>
      </c>
      <c r="BX379" s="12"/>
      <c r="BY379" s="13" t="s">
        <v>313</v>
      </c>
      <c r="BZ379" s="13" t="s">
        <v>312</v>
      </c>
      <c r="CA379" s="13"/>
      <c r="CB379" s="13"/>
      <c r="CC379" s="13"/>
      <c r="CD379" s="13"/>
      <c r="CE379" s="13"/>
      <c r="CF379" s="13"/>
    </row>
    <row r="380" spans="1:84" ht="18.600000000000001" customHeight="1" x14ac:dyDescent="0.25">
      <c r="A380" s="60" t="s">
        <v>139</v>
      </c>
      <c r="B380" s="2" t="s">
        <v>315</v>
      </c>
      <c r="C380" s="3" t="s">
        <v>2368</v>
      </c>
      <c r="D380" s="12" t="s">
        <v>1460</v>
      </c>
      <c r="E380" s="12" t="s">
        <v>1460</v>
      </c>
      <c r="F380" s="12" t="s">
        <v>3976</v>
      </c>
      <c r="G380" s="25">
        <v>1642669</v>
      </c>
      <c r="H380" s="25">
        <v>929478</v>
      </c>
      <c r="I380" s="25">
        <v>198251</v>
      </c>
      <c r="J380" s="25">
        <v>355466</v>
      </c>
      <c r="K380" s="25">
        <v>13421005</v>
      </c>
      <c r="L380" s="25">
        <v>7885991</v>
      </c>
      <c r="M380" s="25">
        <v>21306996</v>
      </c>
      <c r="N380" s="31">
        <v>0.63</v>
      </c>
      <c r="O380" s="25">
        <v>58236</v>
      </c>
      <c r="P380" s="25">
        <v>239965</v>
      </c>
      <c r="Q380" s="25">
        <v>57408</v>
      </c>
      <c r="R380" s="25">
        <v>8384</v>
      </c>
      <c r="S380" s="25">
        <v>33178</v>
      </c>
      <c r="T380" s="25">
        <v>36693</v>
      </c>
      <c r="U380" s="61">
        <v>23049</v>
      </c>
      <c r="V380" s="58">
        <v>6.0000000000000001E-3</v>
      </c>
      <c r="W380" s="33">
        <v>6.0000000000000001E-3</v>
      </c>
      <c r="X380" s="33">
        <v>3.5000000000000001E-3</v>
      </c>
      <c r="Y380" s="33">
        <v>4.1000000000000003E-3</v>
      </c>
      <c r="Z380" s="33">
        <v>6.3E-3</v>
      </c>
      <c r="AA380" s="12" t="s">
        <v>3926</v>
      </c>
      <c r="AB380" s="25">
        <v>599</v>
      </c>
      <c r="AC380" s="25">
        <v>361</v>
      </c>
      <c r="AD380" s="25">
        <v>3</v>
      </c>
      <c r="AE380" s="25">
        <v>1</v>
      </c>
      <c r="AF380" s="25">
        <v>231</v>
      </c>
      <c r="AG380" s="25">
        <v>3</v>
      </c>
      <c r="AH380" s="25">
        <v>0</v>
      </c>
      <c r="AI380" s="12">
        <v>1.36</v>
      </c>
      <c r="AJ380" s="25">
        <v>502132</v>
      </c>
      <c r="AK380" s="25">
        <v>99888</v>
      </c>
      <c r="AL380" s="33">
        <v>0.24829999999999999</v>
      </c>
      <c r="AM380" s="3" t="s">
        <v>2368</v>
      </c>
      <c r="AN380" s="12" t="s">
        <v>1460</v>
      </c>
      <c r="AO380" s="12" t="s">
        <v>1460</v>
      </c>
      <c r="AP380" s="12" t="str">
        <f>"768905426534529"</f>
        <v>768905426534529</v>
      </c>
      <c r="AQ380" s="12" t="s">
        <v>1460</v>
      </c>
      <c r="AR380" s="12" t="s">
        <v>1461</v>
      </c>
      <c r="AS380" s="12" t="s">
        <v>1462</v>
      </c>
      <c r="AT380" s="12"/>
      <c r="AU380" s="12" t="s">
        <v>5257</v>
      </c>
      <c r="AV380" s="12" t="s">
        <v>5764</v>
      </c>
      <c r="AW380" s="12" t="s">
        <v>1463</v>
      </c>
      <c r="AX380" s="12">
        <v>1589</v>
      </c>
      <c r="AY380" s="12">
        <v>92353</v>
      </c>
      <c r="AZ380" s="12">
        <v>0</v>
      </c>
      <c r="BA380" s="12" t="s">
        <v>1464</v>
      </c>
      <c r="BB380" s="12" t="s">
        <v>6371</v>
      </c>
      <c r="BC380" s="12" t="s">
        <v>6372</v>
      </c>
      <c r="BD380" s="12"/>
      <c r="BE380" s="12" t="s">
        <v>2291</v>
      </c>
      <c r="BF380" s="12"/>
      <c r="BG380" s="12"/>
      <c r="BH380" s="12"/>
      <c r="BI380" s="12"/>
      <c r="BJ380" s="12"/>
      <c r="BK380" s="12"/>
      <c r="BL380" s="12" t="s">
        <v>2292</v>
      </c>
      <c r="BM380" s="12" t="s">
        <v>2292</v>
      </c>
      <c r="BN380" s="12" t="s">
        <v>2292</v>
      </c>
      <c r="BO380" s="12" t="s">
        <v>2291</v>
      </c>
      <c r="BP380" s="12"/>
      <c r="BQ380" s="12"/>
      <c r="BR380" s="12"/>
      <c r="BS380" s="12"/>
      <c r="BT380" s="12"/>
      <c r="BU380" s="12" t="s">
        <v>326</v>
      </c>
      <c r="BV380" s="12" t="s">
        <v>2369</v>
      </c>
      <c r="BW380" s="12" t="s">
        <v>4514</v>
      </c>
      <c r="BX380" s="12"/>
      <c r="BY380" s="13" t="s">
        <v>313</v>
      </c>
      <c r="BZ380" s="13" t="s">
        <v>6172</v>
      </c>
      <c r="CA380" s="13"/>
      <c r="CB380" s="13"/>
      <c r="CC380" s="13"/>
      <c r="CD380" s="13"/>
      <c r="CE380" s="13"/>
      <c r="CF380" s="13"/>
    </row>
    <row r="381" spans="1:84" ht="18.600000000000001" customHeight="1" x14ac:dyDescent="0.25">
      <c r="A381" s="60" t="s">
        <v>139</v>
      </c>
      <c r="B381" s="2" t="s">
        <v>6245</v>
      </c>
      <c r="C381" s="3" t="s">
        <v>6244</v>
      </c>
      <c r="D381" s="12" t="s">
        <v>6644</v>
      </c>
      <c r="E381" s="12" t="s">
        <v>6643</v>
      </c>
      <c r="F381" s="12" t="s">
        <v>7417</v>
      </c>
      <c r="G381" s="25">
        <v>192400</v>
      </c>
      <c r="H381" s="25">
        <v>107913</v>
      </c>
      <c r="I381" s="25">
        <v>51916</v>
      </c>
      <c r="J381" s="25">
        <v>11846</v>
      </c>
      <c r="K381" s="25">
        <v>11226</v>
      </c>
      <c r="L381" s="25">
        <v>5487</v>
      </c>
      <c r="M381" s="25">
        <v>16713</v>
      </c>
      <c r="N381" s="31">
        <v>0.67</v>
      </c>
      <c r="O381" s="25">
        <v>257725</v>
      </c>
      <c r="P381" s="25">
        <v>0</v>
      </c>
      <c r="Q381" s="25">
        <v>5183</v>
      </c>
      <c r="R381" s="25">
        <v>466</v>
      </c>
      <c r="S381" s="25">
        <v>6553</v>
      </c>
      <c r="T381" s="25">
        <v>3662</v>
      </c>
      <c r="U381" s="61">
        <v>4860</v>
      </c>
      <c r="V381" s="58">
        <v>1.26E-2</v>
      </c>
      <c r="W381" s="33">
        <v>1.2999999999999999E-2</v>
      </c>
      <c r="X381" s="33">
        <v>1.37E-2</v>
      </c>
      <c r="Y381" s="33">
        <v>1.9199999999999998E-2</v>
      </c>
      <c r="Z381" s="33">
        <v>4.9000000000000002E-2</v>
      </c>
      <c r="AA381" s="33">
        <v>1.5E-3</v>
      </c>
      <c r="AB381" s="25">
        <v>393</v>
      </c>
      <c r="AC381" s="25">
        <v>172</v>
      </c>
      <c r="AD381" s="25">
        <v>164</v>
      </c>
      <c r="AE381" s="25">
        <v>5</v>
      </c>
      <c r="AF381" s="25">
        <v>3</v>
      </c>
      <c r="AG381" s="25">
        <v>47</v>
      </c>
      <c r="AH381" s="25">
        <v>2</v>
      </c>
      <c r="AI381" s="12">
        <v>0.9</v>
      </c>
      <c r="AJ381" s="25">
        <v>41289</v>
      </c>
      <c r="AK381" s="25">
        <v>7415</v>
      </c>
      <c r="AL381" s="33">
        <v>0.21890000000000001</v>
      </c>
      <c r="AM381" s="3" t="s">
        <v>6244</v>
      </c>
      <c r="AN381" s="12" t="s">
        <v>6643</v>
      </c>
      <c r="AO381" s="12" t="s">
        <v>6643</v>
      </c>
      <c r="AP381" s="12" t="str">
        <f>"1431909580371764"</f>
        <v>1431909580371764</v>
      </c>
      <c r="AQ381" s="12" t="s">
        <v>6644</v>
      </c>
      <c r="AR381" s="12" t="s">
        <v>6645</v>
      </c>
      <c r="AS381" s="12" t="s">
        <v>6646</v>
      </c>
      <c r="AT381" s="12"/>
      <c r="AU381" s="12" t="s">
        <v>319</v>
      </c>
      <c r="AV381" s="12"/>
      <c r="AW381" s="12"/>
      <c r="AX381" s="12">
        <v>0</v>
      </c>
      <c r="AY381" s="12">
        <v>4283</v>
      </c>
      <c r="AZ381" s="12">
        <v>0</v>
      </c>
      <c r="BA381" s="12" t="s">
        <v>6243</v>
      </c>
      <c r="BB381" s="12"/>
      <c r="BC381" s="12" t="s">
        <v>6647</v>
      </c>
      <c r="BD381" s="12"/>
      <c r="BE381" s="12" t="s">
        <v>2291</v>
      </c>
      <c r="BF381" s="12"/>
      <c r="BG381" s="12"/>
      <c r="BH381" s="12"/>
      <c r="BI381" s="12"/>
      <c r="BJ381" s="12"/>
      <c r="BK381" s="12"/>
      <c r="BL381" s="12" t="s">
        <v>2292</v>
      </c>
      <c r="BM381" s="12" t="s">
        <v>2292</v>
      </c>
      <c r="BN381" s="12" t="s">
        <v>2292</v>
      </c>
      <c r="BO381" s="12" t="s">
        <v>2291</v>
      </c>
      <c r="BP381" s="12"/>
      <c r="BQ381" s="12"/>
      <c r="BR381" s="12" t="s">
        <v>6648</v>
      </c>
      <c r="BS381" s="12"/>
      <c r="BT381" s="12"/>
      <c r="BU381" s="12"/>
      <c r="BV381" s="12"/>
      <c r="BW381" s="12"/>
      <c r="BX381" s="12"/>
      <c r="BY381" s="13"/>
      <c r="BZ381" s="13" t="s">
        <v>6174</v>
      </c>
      <c r="CA381" s="13"/>
      <c r="CB381" s="13"/>
      <c r="CC381" s="13"/>
      <c r="CD381" s="13"/>
      <c r="CE381" s="13"/>
      <c r="CF381" s="13"/>
    </row>
    <row r="382" spans="1:84" ht="18.600000000000001" customHeight="1" x14ac:dyDescent="0.25">
      <c r="A382" s="60" t="s">
        <v>139</v>
      </c>
      <c r="B382" s="2" t="s">
        <v>335</v>
      </c>
      <c r="C382" s="3" t="s">
        <v>2341</v>
      </c>
      <c r="D382" s="12" t="s">
        <v>1465</v>
      </c>
      <c r="E382" s="12" t="s">
        <v>140</v>
      </c>
      <c r="F382" s="12" t="s">
        <v>3961</v>
      </c>
      <c r="G382" s="25">
        <v>443653</v>
      </c>
      <c r="H382" s="25">
        <v>318996</v>
      </c>
      <c r="I382" s="25">
        <v>30829</v>
      </c>
      <c r="J382" s="25">
        <v>50149</v>
      </c>
      <c r="K382" s="25">
        <v>2039365</v>
      </c>
      <c r="L382" s="25">
        <v>658513</v>
      </c>
      <c r="M382" s="25">
        <v>2697878</v>
      </c>
      <c r="N382" s="31">
        <v>0.76</v>
      </c>
      <c r="O382" s="25">
        <v>249347</v>
      </c>
      <c r="P382" s="25">
        <v>56115</v>
      </c>
      <c r="Q382" s="25">
        <v>15280</v>
      </c>
      <c r="R382" s="25">
        <v>2915</v>
      </c>
      <c r="S382" s="25">
        <v>9026</v>
      </c>
      <c r="T382" s="25">
        <v>12779</v>
      </c>
      <c r="U382" s="61">
        <v>3641</v>
      </c>
      <c r="V382" s="58">
        <v>2E-3</v>
      </c>
      <c r="W382" s="33">
        <v>2.5000000000000001E-3</v>
      </c>
      <c r="X382" s="33">
        <v>1.1000000000000001E-3</v>
      </c>
      <c r="Y382" s="33">
        <v>1.8E-3</v>
      </c>
      <c r="Z382" s="33">
        <v>1.8E-3</v>
      </c>
      <c r="AA382" s="33">
        <v>6.9999999999999999E-4</v>
      </c>
      <c r="AB382" s="25">
        <v>1004</v>
      </c>
      <c r="AC382" s="25">
        <v>603</v>
      </c>
      <c r="AD382" s="25">
        <v>180</v>
      </c>
      <c r="AE382" s="25">
        <v>4</v>
      </c>
      <c r="AF382" s="25">
        <v>184</v>
      </c>
      <c r="AG382" s="25">
        <v>23</v>
      </c>
      <c r="AH382" s="25">
        <v>10</v>
      </c>
      <c r="AI382" s="12">
        <v>2.29</v>
      </c>
      <c r="AJ382" s="25">
        <v>234719</v>
      </c>
      <c r="AK382" s="25">
        <v>37205</v>
      </c>
      <c r="AL382" s="33">
        <v>0.18840000000000001</v>
      </c>
      <c r="AM382" s="3" t="s">
        <v>2341</v>
      </c>
      <c r="AN382" s="12" t="s">
        <v>140</v>
      </c>
      <c r="AO382" s="12" t="s">
        <v>140</v>
      </c>
      <c r="AP382" s="12" t="str">
        <f>"237282353035609"</f>
        <v>237282353035609</v>
      </c>
      <c r="AQ382" s="12" t="s">
        <v>1465</v>
      </c>
      <c r="AR382" s="12" t="s">
        <v>4887</v>
      </c>
      <c r="AS382" s="12" t="s">
        <v>5743</v>
      </c>
      <c r="AT382" s="12"/>
      <c r="AU382" s="12" t="s">
        <v>324</v>
      </c>
      <c r="AV382" s="12" t="s">
        <v>5731</v>
      </c>
      <c r="AW382" s="12" t="s">
        <v>1466</v>
      </c>
      <c r="AX382" s="12">
        <v>4518</v>
      </c>
      <c r="AY382" s="12">
        <v>5753</v>
      </c>
      <c r="AZ382" s="12">
        <v>0</v>
      </c>
      <c r="BA382" s="12" t="s">
        <v>1467</v>
      </c>
      <c r="BB382" s="12" t="s">
        <v>6320</v>
      </c>
      <c r="BC382" s="12" t="s">
        <v>6321</v>
      </c>
      <c r="BD382" s="12"/>
      <c r="BE382" s="12" t="s">
        <v>2291</v>
      </c>
      <c r="BF382" s="12"/>
      <c r="BG382" s="12"/>
      <c r="BH382" s="12"/>
      <c r="BI382" s="12" t="s">
        <v>4888</v>
      </c>
      <c r="BJ382" s="12" t="s">
        <v>5744</v>
      </c>
      <c r="BK382" s="12"/>
      <c r="BL382" s="12" t="s">
        <v>2292</v>
      </c>
      <c r="BM382" s="12" t="s">
        <v>2292</v>
      </c>
      <c r="BN382" s="12" t="s">
        <v>2292</v>
      </c>
      <c r="BO382" s="12" t="s">
        <v>2291</v>
      </c>
      <c r="BP382" s="12" t="s">
        <v>2342</v>
      </c>
      <c r="BQ382" s="12"/>
      <c r="BR382" s="12"/>
      <c r="BS382" s="12"/>
      <c r="BT382" s="12" t="s">
        <v>3313</v>
      </c>
      <c r="BU382" s="12" t="s">
        <v>326</v>
      </c>
      <c r="BV382" s="12"/>
      <c r="BW382" s="12" t="s">
        <v>4506</v>
      </c>
      <c r="BX382" s="12"/>
      <c r="BY382" s="13" t="s">
        <v>313</v>
      </c>
      <c r="BZ382" s="13" t="s">
        <v>6172</v>
      </c>
      <c r="CA382" s="13" t="s">
        <v>6170</v>
      </c>
      <c r="CB382" s="13" t="s">
        <v>6197</v>
      </c>
      <c r="CC382" s="13"/>
      <c r="CD382" s="13" t="s">
        <v>6198</v>
      </c>
      <c r="CE382" s="13"/>
      <c r="CF382" s="13"/>
    </row>
    <row r="383" spans="1:84" ht="18.600000000000001" customHeight="1" x14ac:dyDescent="0.25">
      <c r="A383" s="60" t="s">
        <v>141</v>
      </c>
      <c r="B383" s="2" t="s">
        <v>1471</v>
      </c>
      <c r="C383" s="3" t="s">
        <v>3035</v>
      </c>
      <c r="D383" s="12" t="s">
        <v>1469</v>
      </c>
      <c r="E383" s="12" t="s">
        <v>1468</v>
      </c>
      <c r="F383" s="12" t="s">
        <v>4389</v>
      </c>
      <c r="G383" s="25">
        <v>733530</v>
      </c>
      <c r="H383" s="25">
        <v>470454</v>
      </c>
      <c r="I383" s="25">
        <v>97415</v>
      </c>
      <c r="J383" s="25">
        <v>54219</v>
      </c>
      <c r="K383" s="25">
        <v>6063404</v>
      </c>
      <c r="L383" s="25">
        <v>2220269</v>
      </c>
      <c r="M383" s="25">
        <v>8283673</v>
      </c>
      <c r="N383" s="31">
        <v>0.73</v>
      </c>
      <c r="O383" s="25">
        <v>13545</v>
      </c>
      <c r="P383" s="25">
        <v>2422048</v>
      </c>
      <c r="Q383" s="25">
        <v>74103</v>
      </c>
      <c r="R383" s="25">
        <v>2065</v>
      </c>
      <c r="S383" s="25">
        <v>12121</v>
      </c>
      <c r="T383" s="25">
        <v>6772</v>
      </c>
      <c r="U383" s="61">
        <v>16227</v>
      </c>
      <c r="V383" s="58">
        <v>4.0000000000000001E-3</v>
      </c>
      <c r="W383" s="33">
        <v>3.0000000000000001E-3</v>
      </c>
      <c r="X383" s="33">
        <v>3.0999999999999999E-3</v>
      </c>
      <c r="Y383" s="33">
        <v>5.5999999999999999E-3</v>
      </c>
      <c r="Z383" s="33">
        <v>4.4999999999999997E-3</v>
      </c>
      <c r="AA383" s="12" t="s">
        <v>3926</v>
      </c>
      <c r="AB383" s="25">
        <v>422</v>
      </c>
      <c r="AC383" s="25">
        <v>150</v>
      </c>
      <c r="AD383" s="25">
        <v>17</v>
      </c>
      <c r="AE383" s="25">
        <v>13</v>
      </c>
      <c r="AF383" s="25">
        <v>241</v>
      </c>
      <c r="AG383" s="25">
        <v>1</v>
      </c>
      <c r="AH383" s="25">
        <v>0</v>
      </c>
      <c r="AI383" s="12">
        <v>0.96</v>
      </c>
      <c r="AJ383" s="25">
        <v>435961</v>
      </c>
      <c r="AK383" s="25">
        <v>-8844</v>
      </c>
      <c r="AL383" s="33">
        <v>-1.9900000000000001E-2</v>
      </c>
      <c r="AM383" s="3" t="s">
        <v>3035</v>
      </c>
      <c r="AN383" s="12" t="s">
        <v>1468</v>
      </c>
      <c r="AO383" s="12" t="s">
        <v>1468</v>
      </c>
      <c r="AP383" s="12" t="str">
        <f>"12224403053"</f>
        <v>12224403053</v>
      </c>
      <c r="AQ383" s="12" t="s">
        <v>1469</v>
      </c>
      <c r="AR383" s="12" t="s">
        <v>3194</v>
      </c>
      <c r="AS383" s="12" t="s">
        <v>5613</v>
      </c>
      <c r="AT383" s="12" t="s">
        <v>3036</v>
      </c>
      <c r="AU383" s="12" t="s">
        <v>309</v>
      </c>
      <c r="AV383" s="12" t="s">
        <v>5802</v>
      </c>
      <c r="AW383" s="12"/>
      <c r="AX383" s="12">
        <v>3</v>
      </c>
      <c r="AY383" s="12">
        <v>8356</v>
      </c>
      <c r="AZ383" s="12">
        <v>0</v>
      </c>
      <c r="BA383" s="12" t="s">
        <v>1470</v>
      </c>
      <c r="BB383" s="12" t="s">
        <v>7306</v>
      </c>
      <c r="BC383" s="12" t="s">
        <v>7307</v>
      </c>
      <c r="BD383" s="12"/>
      <c r="BE383" s="12" t="s">
        <v>2291</v>
      </c>
      <c r="BF383" s="12"/>
      <c r="BG383" s="12"/>
      <c r="BH383" s="12"/>
      <c r="BI383" s="12"/>
      <c r="BJ383" s="12"/>
      <c r="BK383" s="12"/>
      <c r="BL383" s="12" t="s">
        <v>2292</v>
      </c>
      <c r="BM383" s="12" t="s">
        <v>2292</v>
      </c>
      <c r="BN383" s="12" t="s">
        <v>2292</v>
      </c>
      <c r="BO383" s="12" t="s">
        <v>2291</v>
      </c>
      <c r="BP383" s="12"/>
      <c r="BQ383" s="12"/>
      <c r="BR383" s="12"/>
      <c r="BS383" s="12"/>
      <c r="BT383" s="12"/>
      <c r="BU383" s="12" t="s">
        <v>326</v>
      </c>
      <c r="BV383" s="12"/>
      <c r="BW383" s="12"/>
      <c r="BX383" s="12"/>
      <c r="BY383" s="13" t="s">
        <v>313</v>
      </c>
      <c r="BZ383" s="13" t="s">
        <v>6174</v>
      </c>
      <c r="CA383" s="13"/>
      <c r="CB383" s="13"/>
      <c r="CC383" s="13"/>
      <c r="CD383" s="13"/>
      <c r="CE383" s="13"/>
      <c r="CF383" s="13"/>
    </row>
    <row r="384" spans="1:84" ht="18.600000000000001" customHeight="1" x14ac:dyDescent="0.25">
      <c r="A384" s="60" t="s">
        <v>141</v>
      </c>
      <c r="B384" s="2" t="s">
        <v>1471</v>
      </c>
      <c r="C384" s="3" t="s">
        <v>3037</v>
      </c>
      <c r="D384" s="12" t="s">
        <v>1473</v>
      </c>
      <c r="E384" s="12" t="s">
        <v>1472</v>
      </c>
      <c r="F384" s="12" t="s">
        <v>4390</v>
      </c>
      <c r="G384" s="25">
        <v>3381</v>
      </c>
      <c r="H384" s="25">
        <v>2391</v>
      </c>
      <c r="I384" s="25">
        <v>440</v>
      </c>
      <c r="J384" s="25">
        <v>197</v>
      </c>
      <c r="K384" s="25">
        <v>5409</v>
      </c>
      <c r="L384" s="25">
        <v>879</v>
      </c>
      <c r="M384" s="25">
        <v>6288</v>
      </c>
      <c r="N384" s="31">
        <v>0.86</v>
      </c>
      <c r="O384" s="25">
        <v>1653</v>
      </c>
      <c r="P384" s="25">
        <v>0</v>
      </c>
      <c r="Q384" s="25">
        <v>254</v>
      </c>
      <c r="R384" s="25">
        <v>8</v>
      </c>
      <c r="S384" s="25">
        <v>43</v>
      </c>
      <c r="T384" s="25">
        <v>5</v>
      </c>
      <c r="U384" s="61">
        <v>43</v>
      </c>
      <c r="V384" s="58">
        <v>3.5999999999999999E-3</v>
      </c>
      <c r="W384" s="33">
        <v>4.1000000000000003E-3</v>
      </c>
      <c r="X384" s="33">
        <v>2.8999999999999998E-3</v>
      </c>
      <c r="Y384" s="12" t="s">
        <v>3926</v>
      </c>
      <c r="Z384" s="33">
        <v>3.5999999999999999E-3</v>
      </c>
      <c r="AA384" s="33">
        <v>2.0000000000000001E-4</v>
      </c>
      <c r="AB384" s="25">
        <v>25</v>
      </c>
      <c r="AC384" s="25">
        <v>13</v>
      </c>
      <c r="AD384" s="25">
        <v>7</v>
      </c>
      <c r="AE384" s="25">
        <v>0</v>
      </c>
      <c r="AF384" s="25">
        <v>3</v>
      </c>
      <c r="AG384" s="25">
        <v>1</v>
      </c>
      <c r="AH384" s="25">
        <v>1</v>
      </c>
      <c r="AI384" s="12">
        <v>0.06</v>
      </c>
      <c r="AJ384" s="25">
        <v>39100</v>
      </c>
      <c r="AK384" s="25">
        <v>1531</v>
      </c>
      <c r="AL384" s="33">
        <v>4.0800000000000003E-2</v>
      </c>
      <c r="AM384" s="3" t="s">
        <v>3037</v>
      </c>
      <c r="AN384" s="12" t="s">
        <v>1472</v>
      </c>
      <c r="AO384" s="12" t="s">
        <v>1472</v>
      </c>
      <c r="AP384" s="12" t="str">
        <f>"241673509341052"</f>
        <v>241673509341052</v>
      </c>
      <c r="AQ384" s="12" t="s">
        <v>1473</v>
      </c>
      <c r="AR384" s="12" t="s">
        <v>1474</v>
      </c>
      <c r="AS384" s="12" t="s">
        <v>1475</v>
      </c>
      <c r="AT384" s="12" t="s">
        <v>3038</v>
      </c>
      <c r="AU384" s="12" t="s">
        <v>309</v>
      </c>
      <c r="AV384" s="12"/>
      <c r="AW384" s="12"/>
      <c r="AX384" s="12">
        <v>0</v>
      </c>
      <c r="AY384" s="12">
        <v>161</v>
      </c>
      <c r="AZ384" s="12">
        <v>0</v>
      </c>
      <c r="BA384" s="12" t="s">
        <v>1476</v>
      </c>
      <c r="BB384" s="12"/>
      <c r="BC384" s="12" t="s">
        <v>7308</v>
      </c>
      <c r="BD384" s="12"/>
      <c r="BE384" s="12" t="s">
        <v>2291</v>
      </c>
      <c r="BF384" s="12"/>
      <c r="BG384" s="12"/>
      <c r="BH384" s="12"/>
      <c r="BI384" s="12"/>
      <c r="BJ384" s="12"/>
      <c r="BK384" s="12"/>
      <c r="BL384" s="12" t="s">
        <v>2292</v>
      </c>
      <c r="BM384" s="12" t="s">
        <v>2292</v>
      </c>
      <c r="BN384" s="12" t="s">
        <v>2292</v>
      </c>
      <c r="BO384" s="12" t="s">
        <v>2291</v>
      </c>
      <c r="BP384" s="12"/>
      <c r="BQ384" s="12"/>
      <c r="BR384" s="12"/>
      <c r="BS384" s="12"/>
      <c r="BT384" s="12"/>
      <c r="BU384" s="12"/>
      <c r="BV384" s="12"/>
      <c r="BW384" s="12"/>
      <c r="BX384" s="12"/>
      <c r="BY384" s="13" t="s">
        <v>313</v>
      </c>
      <c r="BZ384" s="13" t="s">
        <v>312</v>
      </c>
      <c r="CA384" s="13"/>
      <c r="CB384" s="13"/>
      <c r="CC384" s="13"/>
      <c r="CD384" s="13"/>
      <c r="CE384" s="13"/>
      <c r="CF384" s="13"/>
    </row>
    <row r="385" spans="1:84" ht="18.600000000000001" customHeight="1" x14ac:dyDescent="0.25">
      <c r="A385" s="60" t="s">
        <v>141</v>
      </c>
      <c r="B385" s="2" t="s">
        <v>315</v>
      </c>
      <c r="C385" s="3" t="s">
        <v>3122</v>
      </c>
      <c r="D385" s="12" t="s">
        <v>1477</v>
      </c>
      <c r="E385" s="12" t="s">
        <v>142</v>
      </c>
      <c r="F385" s="12" t="s">
        <v>4087</v>
      </c>
      <c r="G385" s="25">
        <v>17497</v>
      </c>
      <c r="H385" s="25">
        <v>12582</v>
      </c>
      <c r="I385" s="25">
        <v>572</v>
      </c>
      <c r="J385" s="25">
        <v>2978</v>
      </c>
      <c r="K385" s="25">
        <v>25539</v>
      </c>
      <c r="L385" s="25">
        <v>35368</v>
      </c>
      <c r="M385" s="25">
        <v>60907</v>
      </c>
      <c r="N385" s="31">
        <v>0.42</v>
      </c>
      <c r="O385" s="25">
        <v>23970</v>
      </c>
      <c r="P385" s="25">
        <v>7416</v>
      </c>
      <c r="Q385" s="25">
        <v>865</v>
      </c>
      <c r="R385" s="25">
        <v>86</v>
      </c>
      <c r="S385" s="25">
        <v>181</v>
      </c>
      <c r="T385" s="25">
        <v>32</v>
      </c>
      <c r="U385" s="61">
        <v>201</v>
      </c>
      <c r="V385" s="58">
        <v>6.7000000000000002E-3</v>
      </c>
      <c r="W385" s="33">
        <v>5.7999999999999996E-3</v>
      </c>
      <c r="X385" s="33">
        <v>5.3E-3</v>
      </c>
      <c r="Y385" s="33">
        <v>5.1000000000000004E-3</v>
      </c>
      <c r="Z385" s="33">
        <v>1.61E-2</v>
      </c>
      <c r="AA385" s="33">
        <v>3.3E-3</v>
      </c>
      <c r="AB385" s="25">
        <v>421</v>
      </c>
      <c r="AC385" s="25">
        <v>56</v>
      </c>
      <c r="AD385" s="25">
        <v>271</v>
      </c>
      <c r="AE385" s="25">
        <v>11</v>
      </c>
      <c r="AF385" s="25">
        <v>26</v>
      </c>
      <c r="AG385" s="25">
        <v>54</v>
      </c>
      <c r="AH385" s="25">
        <v>3</v>
      </c>
      <c r="AI385" s="12">
        <v>0.96</v>
      </c>
      <c r="AJ385" s="25">
        <v>8787</v>
      </c>
      <c r="AK385" s="25">
        <v>3636</v>
      </c>
      <c r="AL385" s="33">
        <v>0.70589999999999997</v>
      </c>
      <c r="AM385" s="3" t="s">
        <v>3122</v>
      </c>
      <c r="AN385" s="12" t="s">
        <v>142</v>
      </c>
      <c r="AO385" s="12" t="s">
        <v>142</v>
      </c>
      <c r="AP385" s="12" t="str">
        <f>"172080442806951"</f>
        <v>172080442806951</v>
      </c>
      <c r="AQ385" s="12" t="s">
        <v>1477</v>
      </c>
      <c r="AR385" s="12" t="s">
        <v>1478</v>
      </c>
      <c r="AS385" s="12" t="s">
        <v>5570</v>
      </c>
      <c r="AT385" s="12"/>
      <c r="AU385" s="12" t="s">
        <v>324</v>
      </c>
      <c r="AV385" s="12" t="s">
        <v>5731</v>
      </c>
      <c r="AW385" s="12"/>
      <c r="AX385" s="12">
        <v>4</v>
      </c>
      <c r="AY385" s="12">
        <v>809</v>
      </c>
      <c r="AZ385" s="12">
        <v>0</v>
      </c>
      <c r="BA385" s="12" t="s">
        <v>1479</v>
      </c>
      <c r="BB385" s="12" t="s">
        <v>6620</v>
      </c>
      <c r="BC385" s="12" t="s">
        <v>6621</v>
      </c>
      <c r="BD385" s="12"/>
      <c r="BE385" s="12" t="s">
        <v>2291</v>
      </c>
      <c r="BF385" s="12"/>
      <c r="BG385" s="12"/>
      <c r="BH385" s="12"/>
      <c r="BI385" s="12" t="s">
        <v>5570</v>
      </c>
      <c r="BJ385" s="12" t="s">
        <v>5571</v>
      </c>
      <c r="BK385" s="12"/>
      <c r="BL385" s="12" t="s">
        <v>2292</v>
      </c>
      <c r="BM385" s="12" t="s">
        <v>2292</v>
      </c>
      <c r="BN385" s="12" t="s">
        <v>2292</v>
      </c>
      <c r="BO385" s="12" t="s">
        <v>2291</v>
      </c>
      <c r="BP385" s="12"/>
      <c r="BQ385" s="12"/>
      <c r="BR385" s="12"/>
      <c r="BS385" s="12"/>
      <c r="BT385" s="12"/>
      <c r="BU385" s="12" t="s">
        <v>326</v>
      </c>
      <c r="BV385" s="12"/>
      <c r="BW385" s="12" t="s">
        <v>5572</v>
      </c>
      <c r="BX385" s="12"/>
      <c r="BY385" s="13" t="s">
        <v>313</v>
      </c>
      <c r="BZ385" s="13" t="s">
        <v>6174</v>
      </c>
      <c r="CA385" s="13"/>
      <c r="CB385" s="13"/>
      <c r="CC385" s="13"/>
      <c r="CD385" s="13"/>
      <c r="CE385" s="13"/>
      <c r="CF385" s="13" t="s">
        <v>6178</v>
      </c>
    </row>
    <row r="386" spans="1:84" ht="18.600000000000001" customHeight="1" x14ac:dyDescent="0.25">
      <c r="A386" s="60" t="s">
        <v>141</v>
      </c>
      <c r="B386" s="2" t="s">
        <v>335</v>
      </c>
      <c r="C386" s="3" t="s">
        <v>2693</v>
      </c>
      <c r="D386" s="12" t="s">
        <v>1481</v>
      </c>
      <c r="E386" s="12" t="s">
        <v>1480</v>
      </c>
      <c r="F386" s="12" t="s">
        <v>4173</v>
      </c>
      <c r="G386" s="25">
        <v>47450</v>
      </c>
      <c r="H386" s="25">
        <v>36050</v>
      </c>
      <c r="I386" s="25">
        <v>874</v>
      </c>
      <c r="J386" s="25">
        <v>7663</v>
      </c>
      <c r="K386" s="25">
        <v>8704</v>
      </c>
      <c r="L386" s="25">
        <v>9534</v>
      </c>
      <c r="M386" s="25">
        <v>18238</v>
      </c>
      <c r="N386" s="31">
        <v>0.48</v>
      </c>
      <c r="O386" s="25">
        <v>17055</v>
      </c>
      <c r="P386" s="25">
        <v>0</v>
      </c>
      <c r="Q386" s="25">
        <v>1933</v>
      </c>
      <c r="R386" s="25">
        <v>96</v>
      </c>
      <c r="S386" s="25">
        <v>64</v>
      </c>
      <c r="T386" s="25">
        <v>549</v>
      </c>
      <c r="U386" s="61">
        <v>214</v>
      </c>
      <c r="V386" s="58">
        <v>3.0999999999999999E-3</v>
      </c>
      <c r="W386" s="33">
        <v>2.8999999999999998E-3</v>
      </c>
      <c r="X386" s="33">
        <v>3.7000000000000002E-3</v>
      </c>
      <c r="Y386" s="33">
        <v>2.0999999999999999E-3</v>
      </c>
      <c r="Z386" s="33">
        <v>3.5999999999999999E-3</v>
      </c>
      <c r="AA386" s="33">
        <v>2.0999999999999999E-3</v>
      </c>
      <c r="AB386" s="25">
        <v>930</v>
      </c>
      <c r="AC386" s="25">
        <v>592</v>
      </c>
      <c r="AD386" s="25">
        <v>259</v>
      </c>
      <c r="AE386" s="25">
        <v>21</v>
      </c>
      <c r="AF386" s="25">
        <v>15</v>
      </c>
      <c r="AG386" s="25">
        <v>27</v>
      </c>
      <c r="AH386" s="25">
        <v>16</v>
      </c>
      <c r="AI386" s="12">
        <v>2.12</v>
      </c>
      <c r="AJ386" s="25">
        <v>18388</v>
      </c>
      <c r="AK386" s="25">
        <v>4482</v>
      </c>
      <c r="AL386" s="33">
        <v>0.32229999999999998</v>
      </c>
      <c r="AM386" s="3" t="s">
        <v>2693</v>
      </c>
      <c r="AN386" s="12" t="s">
        <v>1480</v>
      </c>
      <c r="AO386" s="12" t="s">
        <v>1480</v>
      </c>
      <c r="AP386" s="12" t="str">
        <f>"116165885078864"</f>
        <v>116165885078864</v>
      </c>
      <c r="AQ386" s="12" t="s">
        <v>1481</v>
      </c>
      <c r="AR386" s="12" t="s">
        <v>3213</v>
      </c>
      <c r="AS386" s="12" t="s">
        <v>1482</v>
      </c>
      <c r="AT386" s="12"/>
      <c r="AU386" s="12" t="s">
        <v>324</v>
      </c>
      <c r="AV386" s="12" t="s">
        <v>5731</v>
      </c>
      <c r="AW386" s="12"/>
      <c r="AX386" s="12">
        <v>958</v>
      </c>
      <c r="AY386" s="12">
        <v>348</v>
      </c>
      <c r="AZ386" s="12">
        <v>0</v>
      </c>
      <c r="BA386" s="12" t="s">
        <v>1483</v>
      </c>
      <c r="BB386" s="12" t="s">
        <v>6821</v>
      </c>
      <c r="BC386" s="12" t="s">
        <v>6822</v>
      </c>
      <c r="BD386" s="12"/>
      <c r="BE386" s="12" t="s">
        <v>2291</v>
      </c>
      <c r="BF386" s="12"/>
      <c r="BG386" s="12"/>
      <c r="BH386" s="12"/>
      <c r="BI386" s="12" t="s">
        <v>3214</v>
      </c>
      <c r="BJ386" s="12" t="s">
        <v>3215</v>
      </c>
      <c r="BK386" s="12"/>
      <c r="BL386" s="12" t="s">
        <v>2292</v>
      </c>
      <c r="BM386" s="12" t="s">
        <v>2292</v>
      </c>
      <c r="BN386" s="12" t="s">
        <v>2292</v>
      </c>
      <c r="BO386" s="12" t="s">
        <v>2291</v>
      </c>
      <c r="BP386" s="12" t="s">
        <v>3216</v>
      </c>
      <c r="BQ386" s="12"/>
      <c r="BR386" s="12"/>
      <c r="BS386" s="12"/>
      <c r="BT386" s="12" t="s">
        <v>2694</v>
      </c>
      <c r="BU386" s="12" t="s">
        <v>326</v>
      </c>
      <c r="BV386" s="12"/>
      <c r="BW386" s="12" t="s">
        <v>3217</v>
      </c>
      <c r="BX386" s="12"/>
      <c r="BY386" s="13" t="s">
        <v>313</v>
      </c>
      <c r="BZ386" s="13" t="s">
        <v>312</v>
      </c>
      <c r="CA386" s="13"/>
      <c r="CB386" s="13"/>
      <c r="CC386" s="13"/>
      <c r="CD386" s="13"/>
      <c r="CE386" s="13"/>
      <c r="CF386" s="13"/>
    </row>
    <row r="387" spans="1:84" ht="18.600000000000001" customHeight="1" x14ac:dyDescent="0.25">
      <c r="A387" s="35" t="s">
        <v>143</v>
      </c>
      <c r="B387" s="13" t="s">
        <v>1489</v>
      </c>
      <c r="C387" s="3" t="s">
        <v>2297</v>
      </c>
      <c r="D387" s="12" t="s">
        <v>1485</v>
      </c>
      <c r="E387" s="12" t="s">
        <v>1484</v>
      </c>
      <c r="F387" s="12" t="s">
        <v>3928</v>
      </c>
      <c r="G387" s="25">
        <v>0</v>
      </c>
      <c r="H387" s="25">
        <v>0</v>
      </c>
      <c r="I387" s="25">
        <v>0</v>
      </c>
      <c r="J387" s="25">
        <v>0</v>
      </c>
      <c r="K387" s="25">
        <v>0</v>
      </c>
      <c r="L387" s="25">
        <v>0</v>
      </c>
      <c r="M387" s="25">
        <v>0</v>
      </c>
      <c r="N387" s="31">
        <v>0</v>
      </c>
      <c r="O387" s="25">
        <v>0</v>
      </c>
      <c r="P387" s="25">
        <v>0</v>
      </c>
      <c r="Q387" s="25">
        <v>0</v>
      </c>
      <c r="R387" s="25">
        <v>0</v>
      </c>
      <c r="S387" s="25">
        <v>0</v>
      </c>
      <c r="T387" s="25">
        <v>0</v>
      </c>
      <c r="U387" s="61">
        <v>0</v>
      </c>
      <c r="V387" s="59"/>
      <c r="W387" s="12" t="s">
        <v>3926</v>
      </c>
      <c r="X387" s="12" t="s">
        <v>3926</v>
      </c>
      <c r="Y387" s="12" t="s">
        <v>3926</v>
      </c>
      <c r="Z387" s="12" t="s">
        <v>3926</v>
      </c>
      <c r="AA387" s="12" t="s">
        <v>3926</v>
      </c>
      <c r="AB387" s="25" t="s">
        <v>3927</v>
      </c>
      <c r="AC387" s="25">
        <v>0</v>
      </c>
      <c r="AD387" s="25">
        <v>0</v>
      </c>
      <c r="AE387" s="25">
        <v>0</v>
      </c>
      <c r="AF387" s="25">
        <v>0</v>
      </c>
      <c r="AG387" s="25">
        <v>0</v>
      </c>
      <c r="AH387" s="25">
        <v>0</v>
      </c>
      <c r="AI387" s="12">
        <v>0</v>
      </c>
      <c r="AJ387" s="25">
        <v>11543</v>
      </c>
      <c r="AK387" s="25">
        <v>1120</v>
      </c>
      <c r="AL387" s="33">
        <v>0.1075</v>
      </c>
      <c r="AM387" s="3" t="s">
        <v>2297</v>
      </c>
      <c r="AN387" s="12" t="s">
        <v>1484</v>
      </c>
      <c r="AO387" s="12" t="s">
        <v>1484</v>
      </c>
      <c r="AP387" s="12" t="str">
        <f>"377794852284701"</f>
        <v>377794852284701</v>
      </c>
      <c r="AQ387" s="12" t="s">
        <v>1485</v>
      </c>
      <c r="AR387" s="12" t="s">
        <v>1486</v>
      </c>
      <c r="AS387" s="12" t="s">
        <v>1487</v>
      </c>
      <c r="AT387" s="12"/>
      <c r="AU387" s="12" t="s">
        <v>309</v>
      </c>
      <c r="AV387" s="12"/>
      <c r="AW387" s="12"/>
      <c r="AX387" s="12">
        <v>0</v>
      </c>
      <c r="AY387" s="12">
        <v>36</v>
      </c>
      <c r="AZ387" s="12">
        <v>0</v>
      </c>
      <c r="BA387" s="12" t="s">
        <v>1488</v>
      </c>
      <c r="BB387" s="12"/>
      <c r="BC387" s="12" t="s">
        <v>6262</v>
      </c>
      <c r="BD387" s="12"/>
      <c r="BE387" s="12" t="s">
        <v>2291</v>
      </c>
      <c r="BF387" s="12"/>
      <c r="BG387" s="12"/>
      <c r="BH387" s="12"/>
      <c r="BI387" s="12"/>
      <c r="BJ387" s="12"/>
      <c r="BK387" s="12"/>
      <c r="BL387" s="12" t="s">
        <v>2292</v>
      </c>
      <c r="BM387" s="12" t="s">
        <v>2292</v>
      </c>
      <c r="BN387" s="12" t="s">
        <v>2292</v>
      </c>
      <c r="BO387" s="12" t="s">
        <v>2292</v>
      </c>
      <c r="BP387" s="12"/>
      <c r="BQ387" s="12"/>
      <c r="BR387" s="12"/>
      <c r="BS387" s="12"/>
      <c r="BT387" s="12"/>
      <c r="BU387" s="12"/>
      <c r="BV387" s="12"/>
      <c r="BW387" s="12"/>
      <c r="BX387" s="12"/>
      <c r="BY387" s="13" t="s">
        <v>2298</v>
      </c>
      <c r="BZ387" s="13" t="s">
        <v>312</v>
      </c>
      <c r="CA387" s="13"/>
      <c r="CB387" s="13"/>
      <c r="CC387" s="13"/>
      <c r="CD387" s="13"/>
      <c r="CE387" s="13"/>
      <c r="CF387" s="13"/>
    </row>
    <row r="388" spans="1:84" ht="18.600000000000001" customHeight="1" x14ac:dyDescent="0.25">
      <c r="A388" s="60" t="s">
        <v>143</v>
      </c>
      <c r="B388" s="2" t="s">
        <v>1494</v>
      </c>
      <c r="C388" s="3" t="s">
        <v>2831</v>
      </c>
      <c r="D388" s="12" t="s">
        <v>1490</v>
      </c>
      <c r="E388" s="12" t="s">
        <v>1491</v>
      </c>
      <c r="F388" s="12" t="s">
        <v>4248</v>
      </c>
      <c r="G388" s="25">
        <v>1715123</v>
      </c>
      <c r="H388" s="25">
        <v>1370983</v>
      </c>
      <c r="I388" s="25">
        <v>76434</v>
      </c>
      <c r="J388" s="25">
        <v>145098</v>
      </c>
      <c r="K388" s="25">
        <v>12755209</v>
      </c>
      <c r="L388" s="25">
        <v>6697084</v>
      </c>
      <c r="M388" s="25">
        <v>19452293</v>
      </c>
      <c r="N388" s="31">
        <v>0.66</v>
      </c>
      <c r="O388" s="25">
        <v>0</v>
      </c>
      <c r="P388" s="25">
        <v>0</v>
      </c>
      <c r="Q388" s="25">
        <v>64688</v>
      </c>
      <c r="R388" s="25">
        <v>4686</v>
      </c>
      <c r="S388" s="25">
        <v>19217</v>
      </c>
      <c r="T388" s="25">
        <v>27037</v>
      </c>
      <c r="U388" s="61">
        <v>6344</v>
      </c>
      <c r="V388" s="58">
        <v>9.2999999999999992E-3</v>
      </c>
      <c r="W388" s="33">
        <v>8.2000000000000007E-3</v>
      </c>
      <c r="X388" s="33">
        <v>1.14E-2</v>
      </c>
      <c r="Y388" s="33">
        <v>1.37E-2</v>
      </c>
      <c r="Z388" s="33">
        <v>1.0200000000000001E-2</v>
      </c>
      <c r="AA388" s="33">
        <v>5.1999999999999998E-3</v>
      </c>
      <c r="AB388" s="25">
        <v>332</v>
      </c>
      <c r="AC388" s="25">
        <v>173</v>
      </c>
      <c r="AD388" s="25">
        <v>8</v>
      </c>
      <c r="AE388" s="25">
        <v>13</v>
      </c>
      <c r="AF388" s="25">
        <v>133</v>
      </c>
      <c r="AG388" s="25">
        <v>0</v>
      </c>
      <c r="AH388" s="25">
        <v>5</v>
      </c>
      <c r="AI388" s="12">
        <v>0.76</v>
      </c>
      <c r="AJ388" s="25">
        <v>579653</v>
      </c>
      <c r="AK388" s="25">
        <v>36813</v>
      </c>
      <c r="AL388" s="33">
        <v>6.7799999999999999E-2</v>
      </c>
      <c r="AM388" s="3" t="s">
        <v>2831</v>
      </c>
      <c r="AN388" s="12" t="s">
        <v>1491</v>
      </c>
      <c r="AO388" s="12" t="s">
        <v>1491</v>
      </c>
      <c r="AP388" s="12" t="str">
        <f>"298090296092"</f>
        <v>298090296092</v>
      </c>
      <c r="AQ388" s="12" t="s">
        <v>1490</v>
      </c>
      <c r="AR388" s="12" t="s">
        <v>1492</v>
      </c>
      <c r="AS388" s="12" t="s">
        <v>2832</v>
      </c>
      <c r="AT388" s="12"/>
      <c r="AU388" s="12" t="s">
        <v>319</v>
      </c>
      <c r="AV388" s="12"/>
      <c r="AW388" s="12"/>
      <c r="AX388" s="12">
        <v>0</v>
      </c>
      <c r="AY388" s="12">
        <v>106617</v>
      </c>
      <c r="AZ388" s="12">
        <v>0</v>
      </c>
      <c r="BA388" s="12" t="s">
        <v>1493</v>
      </c>
      <c r="BB388" s="12"/>
      <c r="BC388" s="12" t="s">
        <v>6996</v>
      </c>
      <c r="BD388" s="12"/>
      <c r="BE388" s="12" t="s">
        <v>2291</v>
      </c>
      <c r="BF388" s="12"/>
      <c r="BG388" s="12"/>
      <c r="BH388" s="12"/>
      <c r="BI388" s="12"/>
      <c r="BJ388" s="12"/>
      <c r="BK388" s="12"/>
      <c r="BL388" s="12" t="s">
        <v>2292</v>
      </c>
      <c r="BM388" s="12" t="s">
        <v>2292</v>
      </c>
      <c r="BN388" s="12" t="s">
        <v>2292</v>
      </c>
      <c r="BO388" s="12" t="s">
        <v>2291</v>
      </c>
      <c r="BP388" s="12"/>
      <c r="BQ388" s="12"/>
      <c r="BR388" s="12"/>
      <c r="BS388" s="12"/>
      <c r="BT388" s="12"/>
      <c r="BU388" s="12"/>
      <c r="BV388" s="12"/>
      <c r="BW388" s="12"/>
      <c r="BX388" s="12"/>
      <c r="BY388" s="13" t="s">
        <v>313</v>
      </c>
      <c r="BZ388" s="13" t="s">
        <v>312</v>
      </c>
      <c r="CA388" s="13"/>
      <c r="CB388" s="13"/>
      <c r="CC388" s="13"/>
      <c r="CD388" s="13"/>
      <c r="CE388" s="13"/>
      <c r="CF388" s="13"/>
    </row>
    <row r="389" spans="1:84" ht="18.600000000000001" customHeight="1" x14ac:dyDescent="0.25">
      <c r="A389" s="60" t="s">
        <v>143</v>
      </c>
      <c r="B389" s="2" t="s">
        <v>315</v>
      </c>
      <c r="C389" s="3" t="s">
        <v>2654</v>
      </c>
      <c r="D389" s="12" t="s">
        <v>1496</v>
      </c>
      <c r="E389" s="12" t="s">
        <v>1495</v>
      </c>
      <c r="F389" s="12" t="s">
        <v>4143</v>
      </c>
      <c r="G389" s="25">
        <v>1623074</v>
      </c>
      <c r="H389" s="25">
        <v>1181277</v>
      </c>
      <c r="I389" s="25">
        <v>103764</v>
      </c>
      <c r="J389" s="25">
        <v>198333</v>
      </c>
      <c r="K389" s="25">
        <v>7442506</v>
      </c>
      <c r="L389" s="25">
        <v>1682622</v>
      </c>
      <c r="M389" s="25">
        <v>9125128</v>
      </c>
      <c r="N389" s="31">
        <v>0.82</v>
      </c>
      <c r="O389" s="25">
        <v>135368</v>
      </c>
      <c r="P389" s="25">
        <v>0</v>
      </c>
      <c r="Q389" s="25">
        <v>33082</v>
      </c>
      <c r="R389" s="25">
        <v>9369</v>
      </c>
      <c r="S389" s="25">
        <v>32417</v>
      </c>
      <c r="T389" s="25">
        <v>33247</v>
      </c>
      <c r="U389" s="61">
        <v>31480</v>
      </c>
      <c r="V389" s="58">
        <v>5.1999999999999998E-3</v>
      </c>
      <c r="W389" s="33">
        <v>8.8999999999999999E-3</v>
      </c>
      <c r="X389" s="33">
        <v>4.0000000000000001E-3</v>
      </c>
      <c r="Y389" s="33">
        <v>7.1000000000000004E-3</v>
      </c>
      <c r="Z389" s="33">
        <v>1.52E-2</v>
      </c>
      <c r="AA389" s="33">
        <v>2.5999999999999999E-3</v>
      </c>
      <c r="AB389" s="25">
        <v>2314</v>
      </c>
      <c r="AC389" s="25">
        <v>286</v>
      </c>
      <c r="AD389" s="25">
        <v>1895</v>
      </c>
      <c r="AE389" s="25">
        <v>1</v>
      </c>
      <c r="AF389" s="25">
        <v>111</v>
      </c>
      <c r="AG389" s="25">
        <v>20</v>
      </c>
      <c r="AH389" s="25">
        <v>1</v>
      </c>
      <c r="AI389" s="12">
        <v>5.27</v>
      </c>
      <c r="AJ389" s="25">
        <v>149815</v>
      </c>
      <c r="AK389" s="25">
        <v>28318</v>
      </c>
      <c r="AL389" s="33">
        <v>0.2331</v>
      </c>
      <c r="AM389" s="3" t="s">
        <v>2654</v>
      </c>
      <c r="AN389" s="12" t="s">
        <v>1495</v>
      </c>
      <c r="AO389" s="12" t="s">
        <v>1495</v>
      </c>
      <c r="AP389" s="12" t="str">
        <f>"120370174702378"</f>
        <v>120370174702378</v>
      </c>
      <c r="AQ389" s="12" t="s">
        <v>1496</v>
      </c>
      <c r="AR389" s="12" t="s">
        <v>3776</v>
      </c>
      <c r="AS389" s="12" t="s">
        <v>1497</v>
      </c>
      <c r="AT389" s="12"/>
      <c r="AU389" s="12" t="s">
        <v>1111</v>
      </c>
      <c r="AV389" s="12"/>
      <c r="AW389" s="12"/>
      <c r="AX389" s="12">
        <v>2</v>
      </c>
      <c r="AY389" s="12">
        <v>45208</v>
      </c>
      <c r="AZ389" s="12">
        <v>0</v>
      </c>
      <c r="BA389" s="12" t="s">
        <v>1498</v>
      </c>
      <c r="BB389" s="12" t="s">
        <v>5878</v>
      </c>
      <c r="BC389" s="12" t="s">
        <v>6751</v>
      </c>
      <c r="BD389" s="12"/>
      <c r="BE389" s="12" t="s">
        <v>2291</v>
      </c>
      <c r="BF389" s="12"/>
      <c r="BG389" s="12"/>
      <c r="BH389" s="12"/>
      <c r="BI389" s="12"/>
      <c r="BJ389" s="12"/>
      <c r="BK389" s="12"/>
      <c r="BL389" s="12" t="s">
        <v>2292</v>
      </c>
      <c r="BM389" s="12" t="s">
        <v>2292</v>
      </c>
      <c r="BN389" s="12" t="s">
        <v>2292</v>
      </c>
      <c r="BO389" s="12" t="s">
        <v>2291</v>
      </c>
      <c r="BP389" s="12"/>
      <c r="BQ389" s="12"/>
      <c r="BR389" s="12"/>
      <c r="BS389" s="12"/>
      <c r="BT389" s="12"/>
      <c r="BU389" s="12"/>
      <c r="BV389" s="12"/>
      <c r="BW389" s="12" t="s">
        <v>1499</v>
      </c>
      <c r="BX389" s="12"/>
      <c r="BY389" s="13" t="s">
        <v>313</v>
      </c>
      <c r="BZ389" s="13" t="s">
        <v>6174</v>
      </c>
      <c r="CA389" s="13"/>
      <c r="CB389" s="13"/>
      <c r="CC389" s="13"/>
      <c r="CD389" s="13"/>
      <c r="CE389" s="13"/>
      <c r="CF389" s="13"/>
    </row>
    <row r="390" spans="1:84" ht="18.600000000000001" customHeight="1" x14ac:dyDescent="0.25">
      <c r="A390" s="28" t="s">
        <v>144</v>
      </c>
      <c r="B390" s="12" t="s">
        <v>314</v>
      </c>
      <c r="C390" s="3" t="s">
        <v>6208</v>
      </c>
      <c r="D390" s="12" t="s">
        <v>6207</v>
      </c>
      <c r="E390" s="12" t="s">
        <v>6504</v>
      </c>
      <c r="F390" s="12" t="s">
        <v>7411</v>
      </c>
      <c r="G390" s="25">
        <v>101309</v>
      </c>
      <c r="H390" s="25">
        <v>88247</v>
      </c>
      <c r="I390" s="25">
        <v>2772</v>
      </c>
      <c r="J390" s="25">
        <v>2543</v>
      </c>
      <c r="K390" s="25">
        <v>11320</v>
      </c>
      <c r="L390" s="25">
        <v>26</v>
      </c>
      <c r="M390" s="25">
        <v>11346</v>
      </c>
      <c r="N390" s="31">
        <v>1</v>
      </c>
      <c r="O390" s="25">
        <v>0</v>
      </c>
      <c r="P390" s="25">
        <v>0</v>
      </c>
      <c r="Q390" s="25">
        <v>5218</v>
      </c>
      <c r="R390" s="25">
        <v>358</v>
      </c>
      <c r="S390" s="25">
        <v>1500</v>
      </c>
      <c r="T390" s="25">
        <v>661</v>
      </c>
      <c r="U390" s="61">
        <v>9</v>
      </c>
      <c r="V390" s="58">
        <v>3.5400000000000001E-2</v>
      </c>
      <c r="W390" s="33">
        <v>4.02E-2</v>
      </c>
      <c r="X390" s="33">
        <v>2.01E-2</v>
      </c>
      <c r="Y390" s="33">
        <v>5.0099999999999999E-2</v>
      </c>
      <c r="Z390" s="33">
        <v>8.2000000000000007E-3</v>
      </c>
      <c r="AA390" s="33">
        <v>1.5599999999999999E-2</v>
      </c>
      <c r="AB390" s="25">
        <v>65</v>
      </c>
      <c r="AC390" s="25">
        <v>24</v>
      </c>
      <c r="AD390" s="25">
        <v>15</v>
      </c>
      <c r="AE390" s="25">
        <v>22</v>
      </c>
      <c r="AF390" s="25">
        <v>2</v>
      </c>
      <c r="AG390" s="25">
        <v>0</v>
      </c>
      <c r="AH390" s="25">
        <v>2</v>
      </c>
      <c r="AI390" s="12">
        <v>0.15</v>
      </c>
      <c r="AJ390" s="25">
        <v>46010</v>
      </c>
      <c r="AK390" s="25">
        <v>8611</v>
      </c>
      <c r="AL390" s="33">
        <v>0.23019999999999999</v>
      </c>
      <c r="AM390" s="3" t="s">
        <v>6208</v>
      </c>
      <c r="AN390" s="12" t="s">
        <v>6504</v>
      </c>
      <c r="AO390" s="12" t="s">
        <v>6504</v>
      </c>
      <c r="AP390" s="12" t="str">
        <f>"101061966710999"</f>
        <v>101061966710999</v>
      </c>
      <c r="AQ390" s="12" t="s">
        <v>6207</v>
      </c>
      <c r="AR390" s="12" t="s">
        <v>6505</v>
      </c>
      <c r="AS390" s="12" t="s">
        <v>6506</v>
      </c>
      <c r="AT390" s="12"/>
      <c r="AU390" s="12" t="s">
        <v>324</v>
      </c>
      <c r="AV390" s="12" t="s">
        <v>5731</v>
      </c>
      <c r="AW390" s="12">
        <v>1944</v>
      </c>
      <c r="AX390" s="12">
        <v>30</v>
      </c>
      <c r="AY390" s="12">
        <v>10</v>
      </c>
      <c r="AZ390" s="12">
        <v>30</v>
      </c>
      <c r="BA390" s="12" t="s">
        <v>6507</v>
      </c>
      <c r="BB390" s="12" t="s">
        <v>6508</v>
      </c>
      <c r="BC390" s="12" t="s">
        <v>6509</v>
      </c>
      <c r="BD390" s="12"/>
      <c r="BE390" s="12" t="s">
        <v>2291</v>
      </c>
      <c r="BF390" s="12"/>
      <c r="BG390" s="12"/>
      <c r="BH390" s="12"/>
      <c r="BI390" s="12" t="s">
        <v>6510</v>
      </c>
      <c r="BJ390" s="12" t="s">
        <v>6511</v>
      </c>
      <c r="BK390" s="12" t="s">
        <v>6512</v>
      </c>
      <c r="BL390" s="12" t="s">
        <v>2292</v>
      </c>
      <c r="BM390" s="12" t="s">
        <v>2292</v>
      </c>
      <c r="BN390" s="12" t="s">
        <v>2292</v>
      </c>
      <c r="BO390" s="12" t="s">
        <v>2292</v>
      </c>
      <c r="BP390" s="12"/>
      <c r="BQ390" s="12"/>
      <c r="BR390" s="12"/>
      <c r="BS390" s="12"/>
      <c r="BT390" s="12" t="s">
        <v>6513</v>
      </c>
      <c r="BU390" s="12" t="s">
        <v>326</v>
      </c>
      <c r="BV390" s="12"/>
      <c r="BW390" s="12" t="s">
        <v>6514</v>
      </c>
      <c r="BX390" s="12"/>
      <c r="BY390" s="2"/>
      <c r="BZ390" s="13" t="s">
        <v>6174</v>
      </c>
      <c r="CA390" s="13"/>
      <c r="CB390" s="13"/>
      <c r="CC390" s="13"/>
      <c r="CD390" s="13"/>
      <c r="CE390" s="13"/>
      <c r="CF390" s="13"/>
    </row>
    <row r="391" spans="1:84" ht="18.600000000000001" customHeight="1" x14ac:dyDescent="0.25">
      <c r="A391" s="60" t="s">
        <v>144</v>
      </c>
      <c r="B391" s="2" t="s">
        <v>5617</v>
      </c>
      <c r="C391" s="4" t="s">
        <v>5618</v>
      </c>
      <c r="D391" s="12" t="s">
        <v>5656</v>
      </c>
      <c r="E391" s="12" t="s">
        <v>5657</v>
      </c>
      <c r="F391" s="12" t="s">
        <v>5658</v>
      </c>
      <c r="G391" s="25">
        <v>39959</v>
      </c>
      <c r="H391" s="25">
        <v>32951</v>
      </c>
      <c r="I391" s="25">
        <v>1791</v>
      </c>
      <c r="J391" s="25">
        <v>1714</v>
      </c>
      <c r="K391" s="25">
        <v>0</v>
      </c>
      <c r="L391" s="25">
        <v>0</v>
      </c>
      <c r="M391" s="25">
        <v>0</v>
      </c>
      <c r="N391" s="31">
        <v>0</v>
      </c>
      <c r="O391" s="25">
        <v>3873</v>
      </c>
      <c r="P391" s="25">
        <v>0</v>
      </c>
      <c r="Q391" s="25">
        <v>794</v>
      </c>
      <c r="R391" s="25">
        <v>104</v>
      </c>
      <c r="S391" s="25">
        <v>211</v>
      </c>
      <c r="T391" s="25">
        <v>835</v>
      </c>
      <c r="U391" s="61">
        <v>1559</v>
      </c>
      <c r="V391" s="58">
        <v>1.32E-2</v>
      </c>
      <c r="W391" s="33">
        <v>1.52E-2</v>
      </c>
      <c r="X391" s="33">
        <v>1.03E-2</v>
      </c>
      <c r="Y391" s="33">
        <v>1.72E-2</v>
      </c>
      <c r="Z391" s="12" t="s">
        <v>3926</v>
      </c>
      <c r="AA391" s="33">
        <v>7.4000000000000003E-3</v>
      </c>
      <c r="AB391" s="25">
        <v>234</v>
      </c>
      <c r="AC391" s="25">
        <v>48</v>
      </c>
      <c r="AD391" s="25">
        <v>122</v>
      </c>
      <c r="AE391" s="25">
        <v>59</v>
      </c>
      <c r="AF391" s="25">
        <v>0</v>
      </c>
      <c r="AG391" s="25">
        <v>4</v>
      </c>
      <c r="AH391" s="25">
        <v>1</v>
      </c>
      <c r="AI391" s="12">
        <v>0.53</v>
      </c>
      <c r="AJ391" s="25">
        <v>14824</v>
      </c>
      <c r="AK391" s="25">
        <v>3077</v>
      </c>
      <c r="AL391" s="33">
        <v>0.26190000000000002</v>
      </c>
      <c r="AM391" s="4" t="s">
        <v>5618</v>
      </c>
      <c r="AN391" s="12" t="s">
        <v>6057</v>
      </c>
      <c r="AO391" s="12" t="s">
        <v>5657</v>
      </c>
      <c r="AP391" s="12" t="str">
        <f>"241503652726"</f>
        <v>241503652726</v>
      </c>
      <c r="AQ391" s="12" t="s">
        <v>5656</v>
      </c>
      <c r="AR391" s="12" t="s">
        <v>6058</v>
      </c>
      <c r="AS391" s="12" t="s">
        <v>6059</v>
      </c>
      <c r="AT391" s="12"/>
      <c r="AU391" s="12" t="s">
        <v>309</v>
      </c>
      <c r="AV391" s="12"/>
      <c r="AW391" s="12"/>
      <c r="AX391" s="12">
        <v>0</v>
      </c>
      <c r="AY391" s="12">
        <v>201</v>
      </c>
      <c r="AZ391" s="12">
        <v>0</v>
      </c>
      <c r="BA391" s="12" t="s">
        <v>6060</v>
      </c>
      <c r="BB391" s="12"/>
      <c r="BC391" s="12" t="s">
        <v>7377</v>
      </c>
      <c r="BD391" s="12"/>
      <c r="BE391" s="12" t="s">
        <v>2291</v>
      </c>
      <c r="BF391" s="12"/>
      <c r="BG391" s="12"/>
      <c r="BH391" s="12"/>
      <c r="BI391" s="12"/>
      <c r="BJ391" s="12"/>
      <c r="BK391" s="12"/>
      <c r="BL391" s="12" t="s">
        <v>2292</v>
      </c>
      <c r="BM391" s="12" t="s">
        <v>2292</v>
      </c>
      <c r="BN391" s="12" t="s">
        <v>2292</v>
      </c>
      <c r="BO391" s="12" t="s">
        <v>2291</v>
      </c>
      <c r="BP391" s="12"/>
      <c r="BQ391" s="12"/>
      <c r="BR391" s="12"/>
      <c r="BS391" s="12"/>
      <c r="BT391" s="12"/>
      <c r="BU391" s="12"/>
      <c r="BV391" s="12"/>
      <c r="BW391" s="12"/>
      <c r="BX391" s="12"/>
      <c r="BY391" s="13" t="s">
        <v>313</v>
      </c>
      <c r="BZ391" s="13" t="s">
        <v>312</v>
      </c>
      <c r="CA391" s="13"/>
      <c r="CB391" s="13"/>
      <c r="CC391" s="13"/>
      <c r="CD391" s="13"/>
      <c r="CE391" s="13"/>
      <c r="CF391" s="13"/>
    </row>
    <row r="392" spans="1:84" ht="18.600000000000001" customHeight="1" x14ac:dyDescent="0.25">
      <c r="A392" s="60" t="s">
        <v>144</v>
      </c>
      <c r="B392" s="2" t="s">
        <v>315</v>
      </c>
      <c r="C392" s="3" t="s">
        <v>2502</v>
      </c>
      <c r="D392" s="12" t="s">
        <v>1500</v>
      </c>
      <c r="E392" s="12" t="s">
        <v>1501</v>
      </c>
      <c r="F392" s="12" t="s">
        <v>4056</v>
      </c>
      <c r="G392" s="25">
        <v>1463</v>
      </c>
      <c r="H392" s="25">
        <v>1257</v>
      </c>
      <c r="I392" s="25">
        <v>43</v>
      </c>
      <c r="J392" s="25">
        <v>120</v>
      </c>
      <c r="K392" s="25">
        <v>0</v>
      </c>
      <c r="L392" s="25">
        <v>0</v>
      </c>
      <c r="M392" s="25">
        <v>0</v>
      </c>
      <c r="N392" s="31">
        <v>0</v>
      </c>
      <c r="O392" s="25">
        <v>288</v>
      </c>
      <c r="P392" s="25">
        <v>0</v>
      </c>
      <c r="Q392" s="25">
        <v>22</v>
      </c>
      <c r="R392" s="25">
        <v>17</v>
      </c>
      <c r="S392" s="25">
        <v>2</v>
      </c>
      <c r="T392" s="25">
        <v>1</v>
      </c>
      <c r="U392" s="61">
        <v>1</v>
      </c>
      <c r="V392" s="58">
        <v>1.47E-2</v>
      </c>
      <c r="W392" s="33">
        <v>2.7699999999999999E-2</v>
      </c>
      <c r="X392" s="33">
        <v>8.0000000000000002E-3</v>
      </c>
      <c r="Y392" s="33">
        <v>2E-3</v>
      </c>
      <c r="Z392" s="12" t="s">
        <v>3926</v>
      </c>
      <c r="AA392" s="33">
        <v>0</v>
      </c>
      <c r="AB392" s="25">
        <v>96</v>
      </c>
      <c r="AC392" s="25">
        <v>40</v>
      </c>
      <c r="AD392" s="25">
        <v>33</v>
      </c>
      <c r="AE392" s="25">
        <v>21</v>
      </c>
      <c r="AF392" s="25">
        <v>0</v>
      </c>
      <c r="AG392" s="25">
        <v>1</v>
      </c>
      <c r="AH392" s="25">
        <v>1</v>
      </c>
      <c r="AI392" s="12">
        <v>0.22</v>
      </c>
      <c r="AJ392" s="25">
        <v>1215</v>
      </c>
      <c r="AK392" s="25">
        <v>342</v>
      </c>
      <c r="AL392" s="33">
        <v>0.39179999999999998</v>
      </c>
      <c r="AM392" s="3" t="s">
        <v>2502</v>
      </c>
      <c r="AN392" s="12" t="s">
        <v>1501</v>
      </c>
      <c r="AO392" s="12" t="s">
        <v>1501</v>
      </c>
      <c r="AP392" s="12" t="str">
        <f>"250725931675"</f>
        <v>250725931675</v>
      </c>
      <c r="AQ392" s="12" t="s">
        <v>1500</v>
      </c>
      <c r="AR392" s="12" t="s">
        <v>5825</v>
      </c>
      <c r="AS392" s="12" t="s">
        <v>1502</v>
      </c>
      <c r="AT392" s="12"/>
      <c r="AU392" s="12" t="s">
        <v>324</v>
      </c>
      <c r="AV392" s="12" t="s">
        <v>5769</v>
      </c>
      <c r="AW392" s="12">
        <v>1917</v>
      </c>
      <c r="AX392" s="12">
        <v>23</v>
      </c>
      <c r="AY392" s="12">
        <v>1946</v>
      </c>
      <c r="AZ392" s="12">
        <v>23</v>
      </c>
      <c r="BA392" s="12" t="s">
        <v>1503</v>
      </c>
      <c r="BB392" s="12" t="s">
        <v>6558</v>
      </c>
      <c r="BC392" s="12" t="s">
        <v>6559</v>
      </c>
      <c r="BD392" s="12"/>
      <c r="BE392" s="12" t="s">
        <v>2291</v>
      </c>
      <c r="BF392" s="12"/>
      <c r="BG392" s="12"/>
      <c r="BH392" s="12"/>
      <c r="BI392" s="12" t="s">
        <v>3406</v>
      </c>
      <c r="BJ392" s="12"/>
      <c r="BK392" s="12" t="s">
        <v>6560</v>
      </c>
      <c r="BL392" s="12" t="s">
        <v>2292</v>
      </c>
      <c r="BM392" s="12" t="s">
        <v>2292</v>
      </c>
      <c r="BN392" s="12" t="s">
        <v>2292</v>
      </c>
      <c r="BO392" s="12" t="s">
        <v>2292</v>
      </c>
      <c r="BP392" s="12"/>
      <c r="BQ392" s="12"/>
      <c r="BR392" s="12"/>
      <c r="BS392" s="12"/>
      <c r="BT392" s="12" t="s">
        <v>1504</v>
      </c>
      <c r="BU392" s="12" t="s">
        <v>326</v>
      </c>
      <c r="BV392" s="12"/>
      <c r="BW392" s="12" t="s">
        <v>1505</v>
      </c>
      <c r="BX392" s="12"/>
      <c r="BY392" s="13" t="s">
        <v>313</v>
      </c>
      <c r="BZ392" s="13" t="s">
        <v>312</v>
      </c>
      <c r="CA392" s="13"/>
      <c r="CB392" s="13"/>
      <c r="CC392" s="13"/>
      <c r="CD392" s="13"/>
      <c r="CE392" s="13"/>
      <c r="CF392" s="13"/>
    </row>
    <row r="393" spans="1:84" ht="18.600000000000001" customHeight="1" x14ac:dyDescent="0.25">
      <c r="A393" s="60" t="s">
        <v>144</v>
      </c>
      <c r="B393" s="2" t="s">
        <v>4670</v>
      </c>
      <c r="C393" s="4" t="s">
        <v>4717</v>
      </c>
      <c r="D393" s="12" t="s">
        <v>4727</v>
      </c>
      <c r="E393" s="12" t="s">
        <v>4726</v>
      </c>
      <c r="F393" s="12" t="s">
        <v>4747</v>
      </c>
      <c r="G393" s="25">
        <v>22309</v>
      </c>
      <c r="H393" s="25">
        <v>19479</v>
      </c>
      <c r="I393" s="25">
        <v>1196</v>
      </c>
      <c r="J393" s="25">
        <v>677</v>
      </c>
      <c r="K393" s="25">
        <v>12485</v>
      </c>
      <c r="L393" s="25">
        <v>4547</v>
      </c>
      <c r="M393" s="25">
        <v>17032</v>
      </c>
      <c r="N393" s="31">
        <v>0.73</v>
      </c>
      <c r="O393" s="25">
        <v>7459</v>
      </c>
      <c r="P393" s="25">
        <v>1493</v>
      </c>
      <c r="Q393" s="25">
        <v>299</v>
      </c>
      <c r="R393" s="25">
        <v>35</v>
      </c>
      <c r="S393" s="25">
        <v>271</v>
      </c>
      <c r="T393" s="25">
        <v>254</v>
      </c>
      <c r="U393" s="61">
        <v>98</v>
      </c>
      <c r="V393" s="58">
        <v>1.43E-2</v>
      </c>
      <c r="W393" s="33">
        <v>1.3899999999999999E-2</v>
      </c>
      <c r="X393" s="33">
        <v>1.3299999999999999E-2</v>
      </c>
      <c r="Y393" s="33">
        <v>5.3999999999999999E-2</v>
      </c>
      <c r="Z393" s="33">
        <v>2.7400000000000001E-2</v>
      </c>
      <c r="AA393" s="33">
        <v>2.8500000000000001E-2</v>
      </c>
      <c r="AB393" s="25">
        <v>297</v>
      </c>
      <c r="AC393" s="25">
        <v>56</v>
      </c>
      <c r="AD393" s="25">
        <v>213</v>
      </c>
      <c r="AE393" s="25">
        <v>9</v>
      </c>
      <c r="AF393" s="25">
        <v>7</v>
      </c>
      <c r="AG393" s="25">
        <v>10</v>
      </c>
      <c r="AH393" s="25">
        <v>2</v>
      </c>
      <c r="AI393" s="12">
        <v>0.68</v>
      </c>
      <c r="AJ393" s="25">
        <v>5647</v>
      </c>
      <c r="AK393" s="25">
        <v>1386</v>
      </c>
      <c r="AL393" s="33">
        <v>0.32529999999999998</v>
      </c>
      <c r="AM393" s="4" t="s">
        <v>4717</v>
      </c>
      <c r="AN393" s="12" t="s">
        <v>4726</v>
      </c>
      <c r="AO393" s="12" t="s">
        <v>4726</v>
      </c>
      <c r="AP393" s="12" t="str">
        <f>"54662962022"</f>
        <v>54662962022</v>
      </c>
      <c r="AQ393" s="12" t="s">
        <v>4727</v>
      </c>
      <c r="AR393" s="12" t="s">
        <v>4728</v>
      </c>
      <c r="AS393" s="12" t="s">
        <v>4797</v>
      </c>
      <c r="AT393" s="12"/>
      <c r="AU393" s="12" t="s">
        <v>309</v>
      </c>
      <c r="AV393" s="12"/>
      <c r="AW393" s="12"/>
      <c r="AX393" s="12">
        <v>0</v>
      </c>
      <c r="AY393" s="12">
        <v>707</v>
      </c>
      <c r="AZ393" s="12">
        <v>0</v>
      </c>
      <c r="BA393" s="12" t="s">
        <v>4729</v>
      </c>
      <c r="BB393" s="12"/>
      <c r="BC393" s="12" t="s">
        <v>6632</v>
      </c>
      <c r="BD393" s="12"/>
      <c r="BE393" s="12" t="s">
        <v>2291</v>
      </c>
      <c r="BF393" s="12"/>
      <c r="BG393" s="12"/>
      <c r="BH393" s="12"/>
      <c r="BI393" s="12"/>
      <c r="BJ393" s="12"/>
      <c r="BK393" s="12"/>
      <c r="BL393" s="12" t="s">
        <v>2292</v>
      </c>
      <c r="BM393" s="12" t="s">
        <v>2292</v>
      </c>
      <c r="BN393" s="12" t="s">
        <v>2292</v>
      </c>
      <c r="BO393" s="12" t="s">
        <v>2291</v>
      </c>
      <c r="BP393" s="12"/>
      <c r="BQ393" s="12"/>
      <c r="BR393" s="12"/>
      <c r="BS393" s="12"/>
      <c r="BT393" s="12"/>
      <c r="BU393" s="12"/>
      <c r="BV393" s="12"/>
      <c r="BW393" s="12"/>
      <c r="BX393" s="12"/>
      <c r="BY393" s="13" t="s">
        <v>313</v>
      </c>
      <c r="BZ393" s="13" t="s">
        <v>6170</v>
      </c>
      <c r="CA393" s="13" t="s">
        <v>6170</v>
      </c>
      <c r="CB393" s="13" t="s">
        <v>6197</v>
      </c>
      <c r="CC393" s="13"/>
      <c r="CD393" s="13" t="s">
        <v>6198</v>
      </c>
      <c r="CE393" s="13"/>
      <c r="CF393" s="13"/>
    </row>
    <row r="394" spans="1:84" ht="18.600000000000001" customHeight="1" x14ac:dyDescent="0.25">
      <c r="A394" s="60" t="s">
        <v>144</v>
      </c>
      <c r="B394" s="2" t="s">
        <v>335</v>
      </c>
      <c r="C394" s="3" t="s">
        <v>2716</v>
      </c>
      <c r="D394" s="12" t="s">
        <v>1506</v>
      </c>
      <c r="E394" s="12" t="s">
        <v>145</v>
      </c>
      <c r="F394" s="12" t="s">
        <v>4183</v>
      </c>
      <c r="G394" s="25">
        <v>1508</v>
      </c>
      <c r="H394" s="25">
        <v>969</v>
      </c>
      <c r="I394" s="25">
        <v>46</v>
      </c>
      <c r="J394" s="25">
        <v>369</v>
      </c>
      <c r="K394" s="25">
        <v>0</v>
      </c>
      <c r="L394" s="25">
        <v>0</v>
      </c>
      <c r="M394" s="25">
        <v>0</v>
      </c>
      <c r="N394" s="31">
        <v>0</v>
      </c>
      <c r="O394" s="25">
        <v>2516</v>
      </c>
      <c r="P394" s="25">
        <v>0</v>
      </c>
      <c r="Q394" s="25">
        <v>112</v>
      </c>
      <c r="R394" s="25">
        <v>8</v>
      </c>
      <c r="S394" s="25">
        <v>1</v>
      </c>
      <c r="T394" s="25">
        <v>2</v>
      </c>
      <c r="U394" s="61">
        <v>1</v>
      </c>
      <c r="V394" s="58">
        <v>8.0000000000000002E-3</v>
      </c>
      <c r="W394" s="33">
        <v>5.7999999999999996E-3</v>
      </c>
      <c r="X394" s="33">
        <v>1.21E-2</v>
      </c>
      <c r="Y394" s="12" t="s">
        <v>3926</v>
      </c>
      <c r="Z394" s="12" t="s">
        <v>3926</v>
      </c>
      <c r="AA394" s="33">
        <v>1E-3</v>
      </c>
      <c r="AB394" s="25">
        <v>64</v>
      </c>
      <c r="AC394" s="25">
        <v>26</v>
      </c>
      <c r="AD394" s="25">
        <v>24</v>
      </c>
      <c r="AE394" s="25">
        <v>0</v>
      </c>
      <c r="AF394" s="25">
        <v>0</v>
      </c>
      <c r="AG394" s="25">
        <v>12</v>
      </c>
      <c r="AH394" s="25">
        <v>2</v>
      </c>
      <c r="AI394" s="12">
        <v>0.15</v>
      </c>
      <c r="AJ394" s="25">
        <v>3134</v>
      </c>
      <c r="AK394" s="25">
        <v>489</v>
      </c>
      <c r="AL394" s="33">
        <v>0.18490000000000001</v>
      </c>
      <c r="AM394" s="3" t="s">
        <v>2716</v>
      </c>
      <c r="AN394" s="12" t="s">
        <v>145</v>
      </c>
      <c r="AO394" s="12" t="s">
        <v>145</v>
      </c>
      <c r="AP394" s="12" t="str">
        <f>"192351567442456"</f>
        <v>192351567442456</v>
      </c>
      <c r="AQ394" s="12" t="s">
        <v>1506</v>
      </c>
      <c r="AR394" s="12" t="s">
        <v>1507</v>
      </c>
      <c r="AS394" s="12" t="s">
        <v>1507</v>
      </c>
      <c r="AT394" s="12"/>
      <c r="AU394" s="12" t="s">
        <v>324</v>
      </c>
      <c r="AV394" s="12" t="s">
        <v>5731</v>
      </c>
      <c r="AW394" s="12">
        <v>1940</v>
      </c>
      <c r="AX394" s="12">
        <v>148</v>
      </c>
      <c r="AY394" s="12">
        <v>46</v>
      </c>
      <c r="AZ394" s="12">
        <v>148</v>
      </c>
      <c r="BA394" s="12" t="s">
        <v>1508</v>
      </c>
      <c r="BB394" s="12" t="s">
        <v>6843</v>
      </c>
      <c r="BC394" s="12" t="s">
        <v>6844</v>
      </c>
      <c r="BD394" s="12"/>
      <c r="BE394" s="12" t="s">
        <v>2291</v>
      </c>
      <c r="BF394" s="12"/>
      <c r="BG394" s="12"/>
      <c r="BH394" s="12"/>
      <c r="BI394" s="12" t="s">
        <v>2717</v>
      </c>
      <c r="BJ394" s="12"/>
      <c r="BK394" s="12" t="s">
        <v>6560</v>
      </c>
      <c r="BL394" s="12" t="s">
        <v>2292</v>
      </c>
      <c r="BM394" s="12" t="s">
        <v>2292</v>
      </c>
      <c r="BN394" s="12" t="s">
        <v>2292</v>
      </c>
      <c r="BO394" s="12" t="s">
        <v>2291</v>
      </c>
      <c r="BP394" s="12"/>
      <c r="BQ394" s="12"/>
      <c r="BR394" s="12"/>
      <c r="BS394" s="12"/>
      <c r="BT394" s="12" t="s">
        <v>2718</v>
      </c>
      <c r="BU394" s="12" t="s">
        <v>326</v>
      </c>
      <c r="BV394" s="12"/>
      <c r="BW394" s="12" t="s">
        <v>1509</v>
      </c>
      <c r="BX394" s="12"/>
      <c r="BY394" s="13" t="s">
        <v>313</v>
      </c>
      <c r="BZ394" s="13" t="s">
        <v>6170</v>
      </c>
      <c r="CA394" s="13" t="s">
        <v>6170</v>
      </c>
      <c r="CB394" s="13" t="s">
        <v>6202</v>
      </c>
      <c r="CC394" s="13" t="s">
        <v>6187</v>
      </c>
      <c r="CD394" s="13" t="s">
        <v>6195</v>
      </c>
      <c r="CE394" s="13"/>
      <c r="CF394" s="13"/>
    </row>
    <row r="395" spans="1:84" ht="18.600000000000001" customHeight="1" x14ac:dyDescent="0.25">
      <c r="A395" s="35" t="s">
        <v>144</v>
      </c>
      <c r="B395" s="13" t="s">
        <v>335</v>
      </c>
      <c r="C395" s="3" t="s">
        <v>3061</v>
      </c>
      <c r="D395" s="12" t="s">
        <v>1511</v>
      </c>
      <c r="E395" s="12" t="s">
        <v>1510</v>
      </c>
      <c r="F395" s="12" t="s">
        <v>4411</v>
      </c>
      <c r="G395" s="25">
        <v>6185</v>
      </c>
      <c r="H395" s="25">
        <v>5290</v>
      </c>
      <c r="I395" s="25">
        <v>162</v>
      </c>
      <c r="J395" s="25">
        <v>573</v>
      </c>
      <c r="K395" s="25">
        <v>10229</v>
      </c>
      <c r="L395" s="25">
        <v>4539</v>
      </c>
      <c r="M395" s="25">
        <v>14768</v>
      </c>
      <c r="N395" s="31">
        <v>0.69</v>
      </c>
      <c r="O395" s="25">
        <v>4752</v>
      </c>
      <c r="P395" s="25">
        <v>565</v>
      </c>
      <c r="Q395" s="25">
        <v>49</v>
      </c>
      <c r="R395" s="25">
        <v>18</v>
      </c>
      <c r="S395" s="25">
        <v>46</v>
      </c>
      <c r="T395" s="25">
        <v>46</v>
      </c>
      <c r="U395" s="61">
        <v>1</v>
      </c>
      <c r="V395" s="58">
        <v>4.1000000000000003E-3</v>
      </c>
      <c r="W395" s="33">
        <v>5.4000000000000003E-3</v>
      </c>
      <c r="X395" s="33">
        <v>2.8999999999999998E-3</v>
      </c>
      <c r="Y395" s="33">
        <v>1.9E-3</v>
      </c>
      <c r="Z395" s="33">
        <v>1.24E-2</v>
      </c>
      <c r="AA395" s="33">
        <v>1.5E-3</v>
      </c>
      <c r="AB395" s="25">
        <v>345</v>
      </c>
      <c r="AC395" s="25">
        <v>149</v>
      </c>
      <c r="AD395" s="25">
        <v>165</v>
      </c>
      <c r="AE395" s="25">
        <v>2</v>
      </c>
      <c r="AF395" s="25">
        <v>8</v>
      </c>
      <c r="AG395" s="25">
        <v>12</v>
      </c>
      <c r="AH395" s="25">
        <v>9</v>
      </c>
      <c r="AI395" s="12">
        <v>0.79</v>
      </c>
      <c r="AJ395" s="25">
        <v>4321</v>
      </c>
      <c r="AK395" s="25">
        <v>444</v>
      </c>
      <c r="AL395" s="33">
        <v>0.1145</v>
      </c>
      <c r="AM395" s="3" t="s">
        <v>3061</v>
      </c>
      <c r="AN395" s="12" t="s">
        <v>1510</v>
      </c>
      <c r="AO395" s="12" t="s">
        <v>1510</v>
      </c>
      <c r="AP395" s="12" t="str">
        <f>"121851934504749"</f>
        <v>121851934504749</v>
      </c>
      <c r="AQ395" s="12" t="s">
        <v>1511</v>
      </c>
      <c r="AR395" s="12" t="s">
        <v>1512</v>
      </c>
      <c r="AS395" s="12" t="s">
        <v>1513</v>
      </c>
      <c r="AT395" s="12"/>
      <c r="AU395" s="12" t="s">
        <v>324</v>
      </c>
      <c r="AV395" s="12" t="s">
        <v>6053</v>
      </c>
      <c r="AW395" s="12" t="s">
        <v>3062</v>
      </c>
      <c r="AX395" s="12">
        <v>492</v>
      </c>
      <c r="AY395" s="12">
        <v>224</v>
      </c>
      <c r="AZ395" s="12">
        <v>492</v>
      </c>
      <c r="BA395" s="12" t="s">
        <v>1514</v>
      </c>
      <c r="BB395" s="12" t="s">
        <v>7365</v>
      </c>
      <c r="BC395" s="12" t="s">
        <v>7366</v>
      </c>
      <c r="BD395" s="12"/>
      <c r="BE395" s="12" t="s">
        <v>2291</v>
      </c>
      <c r="BF395" s="12"/>
      <c r="BG395" s="12"/>
      <c r="BH395" s="12"/>
      <c r="BI395" s="12" t="s">
        <v>4800</v>
      </c>
      <c r="BJ395" s="12" t="s">
        <v>1515</v>
      </c>
      <c r="BK395" s="12" t="s">
        <v>6560</v>
      </c>
      <c r="BL395" s="12" t="s">
        <v>2292</v>
      </c>
      <c r="BM395" s="12" t="s">
        <v>2292</v>
      </c>
      <c r="BN395" s="12" t="s">
        <v>2292</v>
      </c>
      <c r="BO395" s="12" t="s">
        <v>2291</v>
      </c>
      <c r="BP395" s="12"/>
      <c r="BQ395" s="12"/>
      <c r="BR395" s="12"/>
      <c r="BS395" s="12"/>
      <c r="BT395" s="12" t="s">
        <v>3063</v>
      </c>
      <c r="BU395" s="12" t="s">
        <v>326</v>
      </c>
      <c r="BV395" s="12"/>
      <c r="BW395" s="12" t="s">
        <v>1516</v>
      </c>
      <c r="BX395" s="12"/>
      <c r="BY395" s="13" t="s">
        <v>313</v>
      </c>
      <c r="BZ395" s="13" t="s">
        <v>6170</v>
      </c>
      <c r="CA395" s="13" t="s">
        <v>6170</v>
      </c>
      <c r="CB395" s="13" t="s">
        <v>6201</v>
      </c>
      <c r="CC395" s="13"/>
      <c r="CD395" s="13" t="s">
        <v>6195</v>
      </c>
      <c r="CE395" s="13"/>
      <c r="CF395" s="13"/>
    </row>
    <row r="396" spans="1:84" ht="18.600000000000001" customHeight="1" x14ac:dyDescent="0.25">
      <c r="A396" s="35" t="s">
        <v>146</v>
      </c>
      <c r="B396" s="13" t="s">
        <v>314</v>
      </c>
      <c r="C396" s="10" t="s">
        <v>3730</v>
      </c>
      <c r="D396" s="12" t="s">
        <v>4750</v>
      </c>
      <c r="E396" s="12" t="s">
        <v>147</v>
      </c>
      <c r="F396" s="12" t="s">
        <v>4310</v>
      </c>
      <c r="G396" s="25">
        <v>48024</v>
      </c>
      <c r="H396" s="25">
        <v>35384</v>
      </c>
      <c r="I396" s="25">
        <v>1860</v>
      </c>
      <c r="J396" s="25">
        <v>7358</v>
      </c>
      <c r="K396" s="25">
        <v>89063</v>
      </c>
      <c r="L396" s="25">
        <v>120037</v>
      </c>
      <c r="M396" s="25">
        <v>209100</v>
      </c>
      <c r="N396" s="31">
        <v>0.43</v>
      </c>
      <c r="O396" s="25">
        <v>0</v>
      </c>
      <c r="P396" s="25">
        <v>507</v>
      </c>
      <c r="Q396" s="25">
        <v>3026</v>
      </c>
      <c r="R396" s="25">
        <v>97</v>
      </c>
      <c r="S396" s="25">
        <v>16</v>
      </c>
      <c r="T396" s="25">
        <v>270</v>
      </c>
      <c r="U396" s="61">
        <v>13</v>
      </c>
      <c r="V396" s="58">
        <v>8.6E-3</v>
      </c>
      <c r="W396" s="33">
        <v>1.14E-2</v>
      </c>
      <c r="X396" s="33">
        <v>6.1000000000000004E-3</v>
      </c>
      <c r="Y396" s="33">
        <v>1.2E-2</v>
      </c>
      <c r="Z396" s="33">
        <v>1.17E-2</v>
      </c>
      <c r="AA396" s="33">
        <v>4.1000000000000003E-3</v>
      </c>
      <c r="AB396" s="25">
        <v>650</v>
      </c>
      <c r="AC396" s="25">
        <v>278</v>
      </c>
      <c r="AD396" s="25">
        <v>201</v>
      </c>
      <c r="AE396" s="25">
        <v>10</v>
      </c>
      <c r="AF396" s="25">
        <v>75</v>
      </c>
      <c r="AG396" s="25">
        <v>0</v>
      </c>
      <c r="AH396" s="25">
        <v>86</v>
      </c>
      <c r="AI396" s="12">
        <v>1.48</v>
      </c>
      <c r="AJ396" s="25">
        <v>11120</v>
      </c>
      <c r="AK396" s="25">
        <v>5852</v>
      </c>
      <c r="AL396" s="33">
        <v>1.1109</v>
      </c>
      <c r="AM396" s="10" t="s">
        <v>3730</v>
      </c>
      <c r="AN396" s="12" t="s">
        <v>147</v>
      </c>
      <c r="AO396" s="12" t="s">
        <v>147</v>
      </c>
      <c r="AP396" s="12" t="str">
        <f>"415677591792847"</f>
        <v>415677591792847</v>
      </c>
      <c r="AQ396" s="12" t="s">
        <v>4750</v>
      </c>
      <c r="AR396" s="12" t="s">
        <v>3800</v>
      </c>
      <c r="AS396" s="12" t="s">
        <v>3801</v>
      </c>
      <c r="AT396" s="12"/>
      <c r="AU396" s="12" t="s">
        <v>424</v>
      </c>
      <c r="AV396" s="12"/>
      <c r="AW396" s="12"/>
      <c r="AX396" s="12">
        <v>0</v>
      </c>
      <c r="AY396" s="12">
        <v>456</v>
      </c>
      <c r="AZ396" s="12">
        <v>0</v>
      </c>
      <c r="BA396" s="12" t="s">
        <v>3802</v>
      </c>
      <c r="BB396" s="12" t="s">
        <v>5989</v>
      </c>
      <c r="BC396" s="12" t="s">
        <v>7122</v>
      </c>
      <c r="BD396" s="12"/>
      <c r="BE396" s="12" t="s">
        <v>2291</v>
      </c>
      <c r="BF396" s="12"/>
      <c r="BG396" s="12"/>
      <c r="BH396" s="12"/>
      <c r="BI396" s="12" t="s">
        <v>3803</v>
      </c>
      <c r="BJ396" s="12"/>
      <c r="BK396" s="12"/>
      <c r="BL396" s="12" t="s">
        <v>2292</v>
      </c>
      <c r="BM396" s="12" t="s">
        <v>2292</v>
      </c>
      <c r="BN396" s="12" t="s">
        <v>2292</v>
      </c>
      <c r="BO396" s="12" t="s">
        <v>2291</v>
      </c>
      <c r="BP396" s="12"/>
      <c r="BQ396" s="12"/>
      <c r="BR396" s="12"/>
      <c r="BS396" s="12"/>
      <c r="BT396" s="12" t="s">
        <v>3804</v>
      </c>
      <c r="BU396" s="12"/>
      <c r="BV396" s="12"/>
      <c r="BW396" s="12" t="s">
        <v>3805</v>
      </c>
      <c r="BX396" s="12"/>
      <c r="BY396" s="13" t="s">
        <v>313</v>
      </c>
      <c r="BZ396" s="13" t="s">
        <v>6174</v>
      </c>
      <c r="CA396" s="13"/>
      <c r="CB396" s="13"/>
      <c r="CC396" s="13"/>
      <c r="CD396" s="13"/>
      <c r="CE396" s="13"/>
      <c r="CF396" s="13"/>
    </row>
    <row r="397" spans="1:84" ht="18.600000000000001" customHeight="1" x14ac:dyDescent="0.25">
      <c r="A397" s="60" t="s">
        <v>146</v>
      </c>
      <c r="B397" s="2" t="s">
        <v>5029</v>
      </c>
      <c r="C397" s="3" t="s">
        <v>5030</v>
      </c>
      <c r="D397" s="12" t="s">
        <v>5092</v>
      </c>
      <c r="E397" s="12" t="s">
        <v>5031</v>
      </c>
      <c r="F397" s="12" t="s">
        <v>5093</v>
      </c>
      <c r="G397" s="25">
        <v>121421</v>
      </c>
      <c r="H397" s="25">
        <v>90081</v>
      </c>
      <c r="I397" s="25">
        <v>15465</v>
      </c>
      <c r="J397" s="25">
        <v>7512</v>
      </c>
      <c r="K397" s="25">
        <v>511172</v>
      </c>
      <c r="L397" s="25">
        <v>450576</v>
      </c>
      <c r="M397" s="25">
        <v>961748</v>
      </c>
      <c r="N397" s="31">
        <v>0.53</v>
      </c>
      <c r="O397" s="25">
        <v>137103</v>
      </c>
      <c r="P397" s="25">
        <v>4006</v>
      </c>
      <c r="Q397" s="25">
        <v>5145</v>
      </c>
      <c r="R397" s="25">
        <v>280</v>
      </c>
      <c r="S397" s="25">
        <v>1221</v>
      </c>
      <c r="T397" s="25">
        <v>426</v>
      </c>
      <c r="U397" s="61">
        <v>1291</v>
      </c>
      <c r="V397" s="58">
        <v>1.9599999999999999E-2</v>
      </c>
      <c r="W397" s="33">
        <v>2.0899999999999998E-2</v>
      </c>
      <c r="X397" s="33">
        <v>1.2500000000000001E-2</v>
      </c>
      <c r="Y397" s="33">
        <v>1.72E-2</v>
      </c>
      <c r="Z397" s="33">
        <v>2.3E-2</v>
      </c>
      <c r="AA397" s="33">
        <v>9.4000000000000004E-3</v>
      </c>
      <c r="AB397" s="25">
        <v>389</v>
      </c>
      <c r="AC397" s="25">
        <v>191</v>
      </c>
      <c r="AD397" s="25">
        <v>22</v>
      </c>
      <c r="AE397" s="25">
        <v>33</v>
      </c>
      <c r="AF397" s="25">
        <v>90</v>
      </c>
      <c r="AG397" s="25">
        <v>48</v>
      </c>
      <c r="AH397" s="25">
        <v>5</v>
      </c>
      <c r="AI397" s="12">
        <v>0.89</v>
      </c>
      <c r="AJ397" s="25">
        <v>26381</v>
      </c>
      <c r="AK397" s="25">
        <v>19982</v>
      </c>
      <c r="AL397" s="33">
        <v>3.1227</v>
      </c>
      <c r="AM397" s="3" t="s">
        <v>5030</v>
      </c>
      <c r="AN397" s="12" t="s">
        <v>5031</v>
      </c>
      <c r="AO397" s="12" t="s">
        <v>5031</v>
      </c>
      <c r="AP397" s="12" t="str">
        <f>"178974912140818"</f>
        <v>178974912140818</v>
      </c>
      <c r="AQ397" s="12" t="s">
        <v>5092</v>
      </c>
      <c r="AR397" s="12" t="s">
        <v>5244</v>
      </c>
      <c r="AS397" s="12"/>
      <c r="AT397" s="12"/>
      <c r="AU397" s="12" t="s">
        <v>309</v>
      </c>
      <c r="AV397" s="12"/>
      <c r="AW397" s="12"/>
      <c r="AX397" s="12">
        <v>0</v>
      </c>
      <c r="AY397" s="12">
        <v>1806</v>
      </c>
      <c r="AZ397" s="12">
        <v>0</v>
      </c>
      <c r="BA397" s="12" t="s">
        <v>5245</v>
      </c>
      <c r="BB397" s="12"/>
      <c r="BC397" s="12" t="s">
        <v>6376</v>
      </c>
      <c r="BD397" s="12"/>
      <c r="BE397" s="12" t="s">
        <v>2291</v>
      </c>
      <c r="BF397" s="12"/>
      <c r="BG397" s="12"/>
      <c r="BH397" s="12"/>
      <c r="BI397" s="12"/>
      <c r="BJ397" s="12"/>
      <c r="BK397" s="12"/>
      <c r="BL397" s="12" t="s">
        <v>2292</v>
      </c>
      <c r="BM397" s="12" t="s">
        <v>2292</v>
      </c>
      <c r="BN397" s="12" t="s">
        <v>2292</v>
      </c>
      <c r="BO397" s="12" t="s">
        <v>2291</v>
      </c>
      <c r="BP397" s="12"/>
      <c r="BQ397" s="12"/>
      <c r="BR397" s="12"/>
      <c r="BS397" s="12"/>
      <c r="BT397" s="12" t="s">
        <v>5246</v>
      </c>
      <c r="BU397" s="12"/>
      <c r="BV397" s="12"/>
      <c r="BW397" s="12"/>
      <c r="BX397" s="12"/>
      <c r="BY397" s="13" t="s">
        <v>313</v>
      </c>
      <c r="BZ397" s="13" t="s">
        <v>312</v>
      </c>
      <c r="CA397" s="13"/>
      <c r="CB397" s="13"/>
      <c r="CC397" s="13"/>
      <c r="CD397" s="13"/>
      <c r="CE397" s="13"/>
      <c r="CF397" s="13"/>
    </row>
    <row r="398" spans="1:84" ht="18.600000000000001" customHeight="1" x14ac:dyDescent="0.25">
      <c r="A398" s="60" t="s">
        <v>146</v>
      </c>
      <c r="B398" s="2" t="s">
        <v>315</v>
      </c>
      <c r="C398" s="3" t="s">
        <v>2685</v>
      </c>
      <c r="D398" s="12" t="s">
        <v>1517</v>
      </c>
      <c r="E398" s="12" t="s">
        <v>148</v>
      </c>
      <c r="F398" s="12" t="s">
        <v>4168</v>
      </c>
      <c r="G398" s="25">
        <v>27272</v>
      </c>
      <c r="H398" s="25">
        <v>15475</v>
      </c>
      <c r="I398" s="25">
        <v>3303</v>
      </c>
      <c r="J398" s="25">
        <v>6603</v>
      </c>
      <c r="K398" s="25">
        <v>3511693</v>
      </c>
      <c r="L398" s="25">
        <v>257319</v>
      </c>
      <c r="M398" s="25">
        <v>3769012</v>
      </c>
      <c r="N398" s="31">
        <v>0.93</v>
      </c>
      <c r="O398" s="25">
        <v>1263</v>
      </c>
      <c r="P398" s="25">
        <v>0</v>
      </c>
      <c r="Q398" s="25">
        <v>940</v>
      </c>
      <c r="R398" s="25">
        <v>98</v>
      </c>
      <c r="S398" s="25">
        <v>359</v>
      </c>
      <c r="T398" s="25">
        <v>35</v>
      </c>
      <c r="U398" s="61">
        <v>459</v>
      </c>
      <c r="V398" s="58">
        <v>3.4599999999999999E-2</v>
      </c>
      <c r="W398" s="33">
        <v>6.1999999999999998E-3</v>
      </c>
      <c r="X398" s="33">
        <v>6.9999999999999999E-4</v>
      </c>
      <c r="Y398" s="33">
        <v>2.3E-3</v>
      </c>
      <c r="Z398" s="33">
        <v>0.28289999999999998</v>
      </c>
      <c r="AA398" s="33">
        <v>1.2999999999999999E-3</v>
      </c>
      <c r="AB398" s="25">
        <v>347</v>
      </c>
      <c r="AC398" s="25">
        <v>99</v>
      </c>
      <c r="AD398" s="25">
        <v>116</v>
      </c>
      <c r="AE398" s="25">
        <v>51</v>
      </c>
      <c r="AF398" s="25">
        <v>37</v>
      </c>
      <c r="AG398" s="25">
        <v>4</v>
      </c>
      <c r="AH398" s="25">
        <v>40</v>
      </c>
      <c r="AI398" s="12">
        <v>0.79</v>
      </c>
      <c r="AJ398" s="25">
        <v>4656</v>
      </c>
      <c r="AK398" s="25">
        <v>3039</v>
      </c>
      <c r="AL398" s="33">
        <v>1.8794</v>
      </c>
      <c r="AM398" s="3" t="s">
        <v>2685</v>
      </c>
      <c r="AN398" s="12" t="s">
        <v>148</v>
      </c>
      <c r="AO398" s="12" t="s">
        <v>148</v>
      </c>
      <c r="AP398" s="12" t="str">
        <f>"116635611711738"</f>
        <v>116635611711738</v>
      </c>
      <c r="AQ398" s="12" t="s">
        <v>1517</v>
      </c>
      <c r="AR398" s="12" t="s">
        <v>1518</v>
      </c>
      <c r="AS398" s="12" t="s">
        <v>1519</v>
      </c>
      <c r="AT398" s="12"/>
      <c r="AU398" s="12" t="s">
        <v>324</v>
      </c>
      <c r="AV398" s="12" t="s">
        <v>5899</v>
      </c>
      <c r="AW398" s="12"/>
      <c r="AX398" s="12">
        <v>21</v>
      </c>
      <c r="AY398" s="12">
        <v>352</v>
      </c>
      <c r="AZ398" s="12">
        <v>21</v>
      </c>
      <c r="BA398" s="12" t="s">
        <v>1520</v>
      </c>
      <c r="BB398" s="12" t="s">
        <v>6809</v>
      </c>
      <c r="BC398" s="12" t="s">
        <v>6810</v>
      </c>
      <c r="BD398" s="12"/>
      <c r="BE398" s="12" t="s">
        <v>2291</v>
      </c>
      <c r="BF398" s="12"/>
      <c r="BG398" s="12"/>
      <c r="BH398" s="12"/>
      <c r="BI398" s="12" t="s">
        <v>2686</v>
      </c>
      <c r="BJ398" s="12" t="s">
        <v>1521</v>
      </c>
      <c r="BK398" s="12" t="s">
        <v>6581</v>
      </c>
      <c r="BL398" s="12" t="s">
        <v>2292</v>
      </c>
      <c r="BM398" s="12" t="s">
        <v>2292</v>
      </c>
      <c r="BN398" s="12" t="s">
        <v>2292</v>
      </c>
      <c r="BO398" s="12" t="s">
        <v>2292</v>
      </c>
      <c r="BP398" s="12" t="s">
        <v>1522</v>
      </c>
      <c r="BQ398" s="12"/>
      <c r="BR398" s="12"/>
      <c r="BS398" s="12"/>
      <c r="BT398" s="12">
        <v>16194126</v>
      </c>
      <c r="BU398" s="12" t="s">
        <v>326</v>
      </c>
      <c r="BV398" s="12"/>
      <c r="BW398" s="12" t="s">
        <v>1523</v>
      </c>
      <c r="BX398" s="12"/>
      <c r="BY398" s="13" t="s">
        <v>313</v>
      </c>
      <c r="BZ398" s="13" t="s">
        <v>6170</v>
      </c>
      <c r="CA398" s="13" t="s">
        <v>6170</v>
      </c>
      <c r="CB398" s="13" t="s">
        <v>6200</v>
      </c>
      <c r="CC398" s="13"/>
      <c r="CD398" s="13" t="s">
        <v>6198</v>
      </c>
      <c r="CE398" s="13"/>
      <c r="CF398" s="13"/>
    </row>
    <row r="399" spans="1:84" ht="18.600000000000001" customHeight="1" x14ac:dyDescent="0.25">
      <c r="A399" s="60" t="s">
        <v>146</v>
      </c>
      <c r="B399" s="2" t="s">
        <v>5032</v>
      </c>
      <c r="C399" s="3" t="s">
        <v>6220</v>
      </c>
      <c r="D399" s="12" t="s">
        <v>5033</v>
      </c>
      <c r="E399" s="12" t="s">
        <v>7232</v>
      </c>
      <c r="F399" s="12" t="s">
        <v>7424</v>
      </c>
      <c r="G399" s="25">
        <v>34466</v>
      </c>
      <c r="H399" s="25">
        <v>27477</v>
      </c>
      <c r="I399" s="25">
        <v>3039</v>
      </c>
      <c r="J399" s="25">
        <v>3042</v>
      </c>
      <c r="K399" s="25">
        <v>27694</v>
      </c>
      <c r="L399" s="25">
        <v>19145</v>
      </c>
      <c r="M399" s="25">
        <v>46839</v>
      </c>
      <c r="N399" s="31">
        <v>0.59</v>
      </c>
      <c r="O399" s="25">
        <v>21533</v>
      </c>
      <c r="P399" s="25">
        <v>4643</v>
      </c>
      <c r="Q399" s="25">
        <v>541</v>
      </c>
      <c r="R399" s="25">
        <v>74</v>
      </c>
      <c r="S399" s="25">
        <v>71</v>
      </c>
      <c r="T399" s="25">
        <v>113</v>
      </c>
      <c r="U399" s="61">
        <v>109</v>
      </c>
      <c r="V399" s="58">
        <v>1.12E-2</v>
      </c>
      <c r="W399" s="33">
        <v>1.18E-2</v>
      </c>
      <c r="X399" s="33">
        <v>9.4000000000000004E-3</v>
      </c>
      <c r="Y399" s="33">
        <v>9.9000000000000008E-3</v>
      </c>
      <c r="Z399" s="33">
        <v>1.44E-2</v>
      </c>
      <c r="AA399" s="33">
        <v>2.6100000000000002E-2</v>
      </c>
      <c r="AB399" s="25">
        <v>291</v>
      </c>
      <c r="AC399" s="25">
        <v>138</v>
      </c>
      <c r="AD399" s="25">
        <v>72</v>
      </c>
      <c r="AE399" s="25">
        <v>43</v>
      </c>
      <c r="AF399" s="25">
        <v>15</v>
      </c>
      <c r="AG399" s="25">
        <v>17</v>
      </c>
      <c r="AH399" s="25">
        <v>6</v>
      </c>
      <c r="AI399" s="12">
        <v>0.66</v>
      </c>
      <c r="AJ399" s="25">
        <v>10836</v>
      </c>
      <c r="AK399" s="25">
        <v>0</v>
      </c>
      <c r="AL399" s="31">
        <v>0</v>
      </c>
      <c r="AM399" s="3" t="s">
        <v>6220</v>
      </c>
      <c r="AN399" s="12" t="s">
        <v>7232</v>
      </c>
      <c r="AO399" s="12" t="s">
        <v>7232</v>
      </c>
      <c r="AP399" s="12" t="str">
        <f>"193590653989945"</f>
        <v>193590653989945</v>
      </c>
      <c r="AQ399" s="12" t="s">
        <v>5033</v>
      </c>
      <c r="AR399" s="12" t="s">
        <v>7233</v>
      </c>
      <c r="AS399" s="12" t="s">
        <v>7234</v>
      </c>
      <c r="AT399" s="12" t="s">
        <v>7235</v>
      </c>
      <c r="AU399" s="12" t="s">
        <v>309</v>
      </c>
      <c r="AV399" s="12"/>
      <c r="AW399" s="12"/>
      <c r="AX399" s="12">
        <v>0</v>
      </c>
      <c r="AY399" s="12">
        <v>334</v>
      </c>
      <c r="AZ399" s="12">
        <v>0</v>
      </c>
      <c r="BA399" s="12" t="s">
        <v>7236</v>
      </c>
      <c r="BB399" s="12" t="s">
        <v>7237</v>
      </c>
      <c r="BC399" s="12" t="s">
        <v>7238</v>
      </c>
      <c r="BD399" s="12" t="s">
        <v>7239</v>
      </c>
      <c r="BE399" s="12" t="s">
        <v>2291</v>
      </c>
      <c r="BF399" s="12"/>
      <c r="BG399" s="12"/>
      <c r="BH399" s="12"/>
      <c r="BI399" s="12"/>
      <c r="BJ399" s="12"/>
      <c r="BK399" s="12"/>
      <c r="BL399" s="12" t="s">
        <v>2292</v>
      </c>
      <c r="BM399" s="12" t="s">
        <v>2292</v>
      </c>
      <c r="BN399" s="12" t="s">
        <v>2292</v>
      </c>
      <c r="BO399" s="12" t="s">
        <v>2291</v>
      </c>
      <c r="BP399" s="12"/>
      <c r="BQ399" s="12"/>
      <c r="BR399" s="12"/>
      <c r="BS399" s="12"/>
      <c r="BT399" s="12" t="s">
        <v>7240</v>
      </c>
      <c r="BU399" s="12"/>
      <c r="BV399" s="12"/>
      <c r="BW399" s="12" t="s">
        <v>7241</v>
      </c>
      <c r="BX399" s="12"/>
      <c r="BY399" s="13"/>
      <c r="BZ399" s="13" t="s">
        <v>312</v>
      </c>
      <c r="CA399" s="13"/>
      <c r="CB399" s="13"/>
      <c r="CC399" s="13"/>
      <c r="CD399" s="13"/>
      <c r="CE399" s="13"/>
      <c r="CF399" s="13"/>
    </row>
    <row r="400" spans="1:84" ht="18.600000000000001" customHeight="1" x14ac:dyDescent="0.25">
      <c r="A400" s="60" t="s">
        <v>149</v>
      </c>
      <c r="B400" s="2" t="s">
        <v>314</v>
      </c>
      <c r="C400" s="3" t="s">
        <v>2935</v>
      </c>
      <c r="D400" s="12" t="s">
        <v>1524</v>
      </c>
      <c r="E400" s="12"/>
      <c r="F400" s="12" t="s">
        <v>4448</v>
      </c>
      <c r="G400" s="25">
        <v>0</v>
      </c>
      <c r="H400" s="25">
        <v>0</v>
      </c>
      <c r="I400" s="25">
        <v>0</v>
      </c>
      <c r="J400" s="25">
        <v>0</v>
      </c>
      <c r="K400" s="25">
        <v>0</v>
      </c>
      <c r="L400" s="25">
        <v>0</v>
      </c>
      <c r="M400" s="25">
        <v>0</v>
      </c>
      <c r="N400" s="31">
        <v>0</v>
      </c>
      <c r="O400" s="25">
        <v>0</v>
      </c>
      <c r="P400" s="25">
        <v>0</v>
      </c>
      <c r="Q400" s="25">
        <v>0</v>
      </c>
      <c r="R400" s="25">
        <v>0</v>
      </c>
      <c r="S400" s="25">
        <v>0</v>
      </c>
      <c r="T400" s="25">
        <v>0</v>
      </c>
      <c r="U400" s="61">
        <v>0</v>
      </c>
      <c r="V400" s="59"/>
      <c r="W400" s="12" t="s">
        <v>3926</v>
      </c>
      <c r="X400" s="12" t="s">
        <v>3926</v>
      </c>
      <c r="Y400" s="12" t="s">
        <v>3926</v>
      </c>
      <c r="Z400" s="12" t="s">
        <v>3926</v>
      </c>
      <c r="AA400" s="12" t="s">
        <v>3926</v>
      </c>
      <c r="AB400" s="25" t="s">
        <v>3927</v>
      </c>
      <c r="AC400" s="25">
        <v>0</v>
      </c>
      <c r="AD400" s="25">
        <v>0</v>
      </c>
      <c r="AE400" s="25">
        <v>0</v>
      </c>
      <c r="AF400" s="25">
        <v>0</v>
      </c>
      <c r="AG400" s="25">
        <v>0</v>
      </c>
      <c r="AH400" s="25">
        <v>0</v>
      </c>
      <c r="AI400" s="12">
        <v>0</v>
      </c>
      <c r="AJ400" s="25">
        <v>10212</v>
      </c>
      <c r="AK400" s="25">
        <v>1780</v>
      </c>
      <c r="AL400" s="33">
        <v>0.21110000000000001</v>
      </c>
      <c r="AM400" s="3" t="s">
        <v>2935</v>
      </c>
      <c r="AN400" s="12" t="s">
        <v>5440</v>
      </c>
      <c r="AO400" s="12"/>
      <c r="AP400" s="12" t="str">
        <f>"1531737037092929"</f>
        <v>1531737037092929</v>
      </c>
      <c r="AQ400" s="12" t="s">
        <v>1524</v>
      </c>
      <c r="AR400" s="12" t="s">
        <v>1525</v>
      </c>
      <c r="AS400" s="12" t="s">
        <v>2936</v>
      </c>
      <c r="AT400" s="12"/>
      <c r="AU400" s="12" t="s">
        <v>324</v>
      </c>
      <c r="AV400" s="12"/>
      <c r="AW400" s="12"/>
      <c r="AX400" s="12">
        <v>0</v>
      </c>
      <c r="AY400" s="12">
        <v>23</v>
      </c>
      <c r="AZ400" s="12">
        <v>0</v>
      </c>
      <c r="BA400" s="12" t="s">
        <v>1526</v>
      </c>
      <c r="BB400" s="12"/>
      <c r="BC400" s="12" t="s">
        <v>7172</v>
      </c>
      <c r="BD400" s="12"/>
      <c r="BE400" s="12" t="s">
        <v>2291</v>
      </c>
      <c r="BF400" s="12"/>
      <c r="BG400" s="12"/>
      <c r="BH400" s="12"/>
      <c r="BI400" s="12"/>
      <c r="BJ400" s="12"/>
      <c r="BK400" s="12"/>
      <c r="BL400" s="12" t="s">
        <v>2292</v>
      </c>
      <c r="BM400" s="12" t="s">
        <v>2292</v>
      </c>
      <c r="BN400" s="12" t="s">
        <v>2292</v>
      </c>
      <c r="BO400" s="12" t="s">
        <v>2292</v>
      </c>
      <c r="BP400" s="12"/>
      <c r="BQ400" s="12"/>
      <c r="BR400" s="12"/>
      <c r="BS400" s="12"/>
      <c r="BT400" s="12"/>
      <c r="BU400" s="12"/>
      <c r="BV400" s="12"/>
      <c r="BW400" s="12"/>
      <c r="BX400" s="12"/>
      <c r="BY400" s="13" t="s">
        <v>344</v>
      </c>
      <c r="BZ400" s="13" t="s">
        <v>6170</v>
      </c>
      <c r="CA400" s="13" t="s">
        <v>6170</v>
      </c>
      <c r="CB400" s="13" t="s">
        <v>312</v>
      </c>
      <c r="CC400" s="13"/>
      <c r="CD400" s="13" t="s">
        <v>6198</v>
      </c>
      <c r="CE400" s="13"/>
      <c r="CF400" s="13"/>
    </row>
    <row r="401" spans="1:84" ht="18.600000000000001" customHeight="1" x14ac:dyDescent="0.25">
      <c r="A401" s="60" t="s">
        <v>149</v>
      </c>
      <c r="B401" s="2" t="s">
        <v>3847</v>
      </c>
      <c r="C401" s="3" t="s">
        <v>2840</v>
      </c>
      <c r="D401" s="12" t="s">
        <v>1527</v>
      </c>
      <c r="E401" s="12" t="s">
        <v>1528</v>
      </c>
      <c r="F401" s="12" t="s">
        <v>4259</v>
      </c>
      <c r="G401" s="25">
        <v>162334</v>
      </c>
      <c r="H401" s="25">
        <v>94063</v>
      </c>
      <c r="I401" s="25">
        <v>36224</v>
      </c>
      <c r="J401" s="25">
        <v>24624</v>
      </c>
      <c r="K401" s="25">
        <v>920627</v>
      </c>
      <c r="L401" s="25">
        <v>893745</v>
      </c>
      <c r="M401" s="25">
        <v>1814372</v>
      </c>
      <c r="N401" s="31">
        <v>0.51</v>
      </c>
      <c r="O401" s="25">
        <v>0</v>
      </c>
      <c r="P401" s="25">
        <v>26069</v>
      </c>
      <c r="Q401" s="25">
        <v>4232</v>
      </c>
      <c r="R401" s="25">
        <v>311</v>
      </c>
      <c r="S401" s="25">
        <v>1766</v>
      </c>
      <c r="T401" s="25">
        <v>149</v>
      </c>
      <c r="U401" s="61">
        <v>950</v>
      </c>
      <c r="V401" s="58">
        <v>1.2999999999999999E-2</v>
      </c>
      <c r="W401" s="33">
        <v>1.5800000000000002E-2</v>
      </c>
      <c r="X401" s="33">
        <v>1.4800000000000001E-2</v>
      </c>
      <c r="Y401" s="33">
        <v>5.7200000000000001E-2</v>
      </c>
      <c r="Z401" s="33">
        <v>1.2500000000000001E-2</v>
      </c>
      <c r="AA401" s="33">
        <v>8.9999999999999993E-3</v>
      </c>
      <c r="AB401" s="25">
        <v>291</v>
      </c>
      <c r="AC401" s="25">
        <v>8</v>
      </c>
      <c r="AD401" s="25">
        <v>19</v>
      </c>
      <c r="AE401" s="25">
        <v>4</v>
      </c>
      <c r="AF401" s="25">
        <v>230</v>
      </c>
      <c r="AG401" s="25">
        <v>0</v>
      </c>
      <c r="AH401" s="25">
        <v>30</v>
      </c>
      <c r="AI401" s="12">
        <v>0.66</v>
      </c>
      <c r="AJ401" s="25">
        <v>60792</v>
      </c>
      <c r="AK401" s="25">
        <v>31719</v>
      </c>
      <c r="AL401" s="33">
        <v>1.091</v>
      </c>
      <c r="AM401" s="3" t="s">
        <v>2840</v>
      </c>
      <c r="AN401" s="12" t="s">
        <v>1528</v>
      </c>
      <c r="AO401" s="12" t="s">
        <v>1528</v>
      </c>
      <c r="AP401" s="12" t="str">
        <f>"395923447178449"</f>
        <v>395923447178449</v>
      </c>
      <c r="AQ401" s="12" t="s">
        <v>1527</v>
      </c>
      <c r="AR401" s="12"/>
      <c r="AS401" s="12"/>
      <c r="AT401" s="12"/>
      <c r="AU401" s="12" t="s">
        <v>309</v>
      </c>
      <c r="AV401" s="12"/>
      <c r="AW401" s="12"/>
      <c r="AX401" s="12">
        <v>0</v>
      </c>
      <c r="AY401" s="12">
        <v>1061</v>
      </c>
      <c r="AZ401" s="12">
        <v>0</v>
      </c>
      <c r="BA401" s="12" t="s">
        <v>1529</v>
      </c>
      <c r="BB401" s="12"/>
      <c r="BC401" s="12" t="s">
        <v>7013</v>
      </c>
      <c r="BD401" s="12"/>
      <c r="BE401" s="12" t="s">
        <v>2291</v>
      </c>
      <c r="BF401" s="12"/>
      <c r="BG401" s="12"/>
      <c r="BH401" s="12"/>
      <c r="BI401" s="12"/>
      <c r="BJ401" s="12"/>
      <c r="BK401" s="12"/>
      <c r="BL401" s="12" t="s">
        <v>2292</v>
      </c>
      <c r="BM401" s="12" t="s">
        <v>2292</v>
      </c>
      <c r="BN401" s="12" t="s">
        <v>2292</v>
      </c>
      <c r="BO401" s="12" t="s">
        <v>2291</v>
      </c>
      <c r="BP401" s="12"/>
      <c r="BQ401" s="12"/>
      <c r="BR401" s="12"/>
      <c r="BS401" s="12"/>
      <c r="BT401" s="12"/>
      <c r="BU401" s="12"/>
      <c r="BV401" s="12"/>
      <c r="BW401" s="12"/>
      <c r="BX401" s="12"/>
      <c r="BY401" s="13" t="s">
        <v>313</v>
      </c>
      <c r="BZ401" s="13" t="s">
        <v>312</v>
      </c>
      <c r="CA401" s="13"/>
      <c r="CB401" s="13"/>
      <c r="CC401" s="13"/>
      <c r="CD401" s="13"/>
      <c r="CE401" s="13"/>
      <c r="CF401" s="13"/>
    </row>
    <row r="402" spans="1:84" ht="18.600000000000001" customHeight="1" x14ac:dyDescent="0.25">
      <c r="A402" s="60" t="s">
        <v>149</v>
      </c>
      <c r="B402" s="2" t="s">
        <v>315</v>
      </c>
      <c r="C402" s="20" t="s">
        <v>3866</v>
      </c>
      <c r="D402" s="12" t="s">
        <v>4255</v>
      </c>
      <c r="E402" s="12" t="s">
        <v>4256</v>
      </c>
      <c r="F402" s="12" t="s">
        <v>4257</v>
      </c>
      <c r="G402" s="25">
        <v>63152</v>
      </c>
      <c r="H402" s="25">
        <v>44720</v>
      </c>
      <c r="I402" s="25">
        <v>5243</v>
      </c>
      <c r="J402" s="25">
        <v>10810</v>
      </c>
      <c r="K402" s="25">
        <v>188200</v>
      </c>
      <c r="L402" s="25">
        <v>345675</v>
      </c>
      <c r="M402" s="25">
        <v>533875</v>
      </c>
      <c r="N402" s="31">
        <v>0.35</v>
      </c>
      <c r="O402" s="25">
        <v>0</v>
      </c>
      <c r="P402" s="25">
        <v>181492</v>
      </c>
      <c r="Q402" s="25">
        <v>1711</v>
      </c>
      <c r="R402" s="25">
        <v>161</v>
      </c>
      <c r="S402" s="25">
        <v>114</v>
      </c>
      <c r="T402" s="25">
        <v>163</v>
      </c>
      <c r="U402" s="61">
        <v>223</v>
      </c>
      <c r="V402" s="58">
        <v>6.4000000000000003E-3</v>
      </c>
      <c r="W402" s="33">
        <v>4.7000000000000002E-3</v>
      </c>
      <c r="X402" s="33">
        <v>1.18E-2</v>
      </c>
      <c r="Y402" s="33">
        <v>5.0000000000000001E-4</v>
      </c>
      <c r="Z402" s="33">
        <v>1.89E-2</v>
      </c>
      <c r="AA402" s="33">
        <v>1.9E-3</v>
      </c>
      <c r="AB402" s="25">
        <v>348</v>
      </c>
      <c r="AC402" s="25">
        <v>267</v>
      </c>
      <c r="AD402" s="25">
        <v>13</v>
      </c>
      <c r="AE402" s="25">
        <v>2</v>
      </c>
      <c r="AF402" s="25">
        <v>44</v>
      </c>
      <c r="AG402" s="25">
        <v>0</v>
      </c>
      <c r="AH402" s="25">
        <v>22</v>
      </c>
      <c r="AI402" s="12">
        <v>0.79</v>
      </c>
      <c r="AJ402" s="25">
        <v>32747</v>
      </c>
      <c r="AK402" s="25">
        <v>11330</v>
      </c>
      <c r="AL402" s="33">
        <v>0.52900000000000003</v>
      </c>
      <c r="AM402" s="20" t="s">
        <v>3866</v>
      </c>
      <c r="AN402" s="12" t="s">
        <v>4256</v>
      </c>
      <c r="AO402" s="12" t="s">
        <v>4256</v>
      </c>
      <c r="AP402" s="12" t="str">
        <f>"948165718584742"</f>
        <v>948165718584742</v>
      </c>
      <c r="AQ402" s="12" t="s">
        <v>4255</v>
      </c>
      <c r="AR402" s="12" t="s">
        <v>4616</v>
      </c>
      <c r="AS402" s="12" t="s">
        <v>5407</v>
      </c>
      <c r="AT402" s="12"/>
      <c r="AU402" s="12" t="s">
        <v>324</v>
      </c>
      <c r="AV402" s="12"/>
      <c r="AW402" s="12"/>
      <c r="AX402" s="12">
        <v>7</v>
      </c>
      <c r="AY402" s="12">
        <v>471</v>
      </c>
      <c r="AZ402" s="12">
        <v>0</v>
      </c>
      <c r="BA402" s="12" t="s">
        <v>4617</v>
      </c>
      <c r="BB402" s="12"/>
      <c r="BC402" s="12" t="s">
        <v>7010</v>
      </c>
      <c r="BD402" s="12"/>
      <c r="BE402" s="12" t="s">
        <v>2291</v>
      </c>
      <c r="BF402" s="12"/>
      <c r="BG402" s="12"/>
      <c r="BH402" s="12"/>
      <c r="BI402" s="12" t="s">
        <v>4618</v>
      </c>
      <c r="BJ402" s="12"/>
      <c r="BK402" s="12"/>
      <c r="BL402" s="12" t="s">
        <v>2292</v>
      </c>
      <c r="BM402" s="12" t="s">
        <v>2292</v>
      </c>
      <c r="BN402" s="12" t="s">
        <v>2292</v>
      </c>
      <c r="BO402" s="12" t="s">
        <v>2291</v>
      </c>
      <c r="BP402" s="12"/>
      <c r="BQ402" s="12"/>
      <c r="BR402" s="12"/>
      <c r="BS402" s="12"/>
      <c r="BT402" s="12"/>
      <c r="BU402" s="12"/>
      <c r="BV402" s="12"/>
      <c r="BW402" s="12"/>
      <c r="BX402" s="12"/>
      <c r="BY402" s="13" t="s">
        <v>313</v>
      </c>
      <c r="BZ402" s="13" t="s">
        <v>312</v>
      </c>
      <c r="CA402" s="13"/>
      <c r="CB402" s="13"/>
      <c r="CC402" s="13"/>
      <c r="CD402" s="13"/>
      <c r="CE402" s="13" t="s">
        <v>6175</v>
      </c>
      <c r="CF402" s="13"/>
    </row>
    <row r="403" spans="1:84" ht="18.600000000000001" customHeight="1" x14ac:dyDescent="0.25">
      <c r="A403" s="60" t="s">
        <v>149</v>
      </c>
      <c r="B403" s="2" t="s">
        <v>3848</v>
      </c>
      <c r="C403" s="3" t="s">
        <v>3849</v>
      </c>
      <c r="D403" s="12" t="s">
        <v>3947</v>
      </c>
      <c r="E403" s="12" t="s">
        <v>3948</v>
      </c>
      <c r="F403" s="12" t="s">
        <v>3949</v>
      </c>
      <c r="G403" s="25">
        <v>38064</v>
      </c>
      <c r="H403" s="25">
        <v>24880</v>
      </c>
      <c r="I403" s="25">
        <v>4688</v>
      </c>
      <c r="J403" s="25">
        <v>5461</v>
      </c>
      <c r="K403" s="25">
        <v>404376</v>
      </c>
      <c r="L403" s="25">
        <v>71161</v>
      </c>
      <c r="M403" s="25">
        <v>475537</v>
      </c>
      <c r="N403" s="31">
        <v>0.85</v>
      </c>
      <c r="O403" s="25">
        <v>22313</v>
      </c>
      <c r="P403" s="25">
        <v>0</v>
      </c>
      <c r="Q403" s="25">
        <v>743</v>
      </c>
      <c r="R403" s="25">
        <v>72</v>
      </c>
      <c r="S403" s="25">
        <v>1170</v>
      </c>
      <c r="T403" s="25">
        <v>210</v>
      </c>
      <c r="U403" s="61">
        <v>831</v>
      </c>
      <c r="V403" s="58">
        <v>1.8E-3</v>
      </c>
      <c r="W403" s="33">
        <v>1.6999999999999999E-3</v>
      </c>
      <c r="X403" s="33">
        <v>1.4E-3</v>
      </c>
      <c r="Y403" s="33">
        <v>1.9E-3</v>
      </c>
      <c r="Z403" s="33">
        <v>3.8999999999999998E-3</v>
      </c>
      <c r="AA403" s="33">
        <v>1.6999999999999999E-3</v>
      </c>
      <c r="AB403" s="25">
        <v>172</v>
      </c>
      <c r="AC403" s="25">
        <v>88</v>
      </c>
      <c r="AD403" s="25">
        <v>27</v>
      </c>
      <c r="AE403" s="25">
        <v>34</v>
      </c>
      <c r="AF403" s="25">
        <v>11</v>
      </c>
      <c r="AG403" s="25">
        <v>10</v>
      </c>
      <c r="AH403" s="25">
        <v>2</v>
      </c>
      <c r="AI403" s="12">
        <v>0.39</v>
      </c>
      <c r="AJ403" s="25">
        <v>122592</v>
      </c>
      <c r="AK403" s="25">
        <v>-940</v>
      </c>
      <c r="AL403" s="33">
        <v>-7.6E-3</v>
      </c>
      <c r="AM403" s="3" t="s">
        <v>3849</v>
      </c>
      <c r="AN403" s="12" t="s">
        <v>3948</v>
      </c>
      <c r="AO403" s="12" t="s">
        <v>3948</v>
      </c>
      <c r="AP403" s="12" t="str">
        <f>"111297698903150"</f>
        <v>111297698903150</v>
      </c>
      <c r="AQ403" s="12" t="s">
        <v>3947</v>
      </c>
      <c r="AR403" s="12" t="s">
        <v>4502</v>
      </c>
      <c r="AS403" s="12" t="s">
        <v>4503</v>
      </c>
      <c r="AT403" s="12" t="s">
        <v>4504</v>
      </c>
      <c r="AU403" s="12" t="s">
        <v>309</v>
      </c>
      <c r="AV403" s="12"/>
      <c r="AW403" s="12"/>
      <c r="AX403" s="12">
        <v>0</v>
      </c>
      <c r="AY403" s="12">
        <v>108</v>
      </c>
      <c r="AZ403" s="12">
        <v>0</v>
      </c>
      <c r="BA403" s="12" t="s">
        <v>4505</v>
      </c>
      <c r="BB403" s="12"/>
      <c r="BC403" s="12" t="s">
        <v>6305</v>
      </c>
      <c r="BD403" s="12"/>
      <c r="BE403" s="12" t="s">
        <v>2291</v>
      </c>
      <c r="BF403" s="12"/>
      <c r="BG403" s="12"/>
      <c r="BH403" s="12"/>
      <c r="BI403" s="12"/>
      <c r="BJ403" s="12"/>
      <c r="BK403" s="12"/>
      <c r="BL403" s="12" t="s">
        <v>2292</v>
      </c>
      <c r="BM403" s="12" t="s">
        <v>2292</v>
      </c>
      <c r="BN403" s="12" t="s">
        <v>2292</v>
      </c>
      <c r="BO403" s="12" t="s">
        <v>2291</v>
      </c>
      <c r="BP403" s="12"/>
      <c r="BQ403" s="12"/>
      <c r="BR403" s="12"/>
      <c r="BS403" s="12"/>
      <c r="BT403" s="12"/>
      <c r="BU403" s="12"/>
      <c r="BV403" s="12"/>
      <c r="BW403" s="12"/>
      <c r="BX403" s="12"/>
      <c r="BY403" s="13" t="s">
        <v>313</v>
      </c>
      <c r="BZ403" s="13" t="s">
        <v>312</v>
      </c>
      <c r="CA403" s="13"/>
      <c r="CB403" s="13"/>
      <c r="CC403" s="13"/>
      <c r="CD403" s="13"/>
      <c r="CE403" s="13"/>
      <c r="CF403" s="13"/>
    </row>
    <row r="404" spans="1:84" ht="18.600000000000001" customHeight="1" x14ac:dyDescent="0.25">
      <c r="A404" s="60" t="s">
        <v>149</v>
      </c>
      <c r="B404" s="2" t="s">
        <v>335</v>
      </c>
      <c r="C404" s="20" t="s">
        <v>3494</v>
      </c>
      <c r="D404" s="12" t="s">
        <v>3586</v>
      </c>
      <c r="E404" s="12" t="s">
        <v>3585</v>
      </c>
      <c r="F404" s="12" t="s">
        <v>4114</v>
      </c>
      <c r="G404" s="25">
        <v>45173</v>
      </c>
      <c r="H404" s="25">
        <v>28919</v>
      </c>
      <c r="I404" s="25">
        <v>1477</v>
      </c>
      <c r="J404" s="25">
        <v>13562</v>
      </c>
      <c r="K404" s="25">
        <v>119253</v>
      </c>
      <c r="L404" s="25">
        <v>195387</v>
      </c>
      <c r="M404" s="25">
        <v>314640</v>
      </c>
      <c r="N404" s="31">
        <v>0.38</v>
      </c>
      <c r="O404" s="25">
        <v>3437</v>
      </c>
      <c r="P404" s="25">
        <v>0</v>
      </c>
      <c r="Q404" s="25">
        <v>958</v>
      </c>
      <c r="R404" s="25">
        <v>80</v>
      </c>
      <c r="S404" s="25">
        <v>36</v>
      </c>
      <c r="T404" s="25">
        <v>118</v>
      </c>
      <c r="U404" s="61">
        <v>16</v>
      </c>
      <c r="V404" s="58">
        <v>5.4999999999999997E-3</v>
      </c>
      <c r="W404" s="33">
        <v>5.1000000000000004E-3</v>
      </c>
      <c r="X404" s="33">
        <v>6.7999999999999996E-3</v>
      </c>
      <c r="Y404" s="33">
        <v>9.2999999999999992E-3</v>
      </c>
      <c r="Z404" s="33">
        <v>7.4000000000000003E-3</v>
      </c>
      <c r="AA404" s="33">
        <v>4.1000000000000003E-3</v>
      </c>
      <c r="AB404" s="25">
        <v>387</v>
      </c>
      <c r="AC404" s="25">
        <v>285</v>
      </c>
      <c r="AD404" s="25">
        <v>18</v>
      </c>
      <c r="AE404" s="25">
        <v>2</v>
      </c>
      <c r="AF404" s="25">
        <v>72</v>
      </c>
      <c r="AG404" s="25">
        <v>6</v>
      </c>
      <c r="AH404" s="25">
        <v>4</v>
      </c>
      <c r="AI404" s="12">
        <v>0.88</v>
      </c>
      <c r="AJ404" s="25">
        <v>29494</v>
      </c>
      <c r="AK404" s="25">
        <v>18161</v>
      </c>
      <c r="AL404" s="33">
        <v>1.6025</v>
      </c>
      <c r="AM404" s="20" t="s">
        <v>3494</v>
      </c>
      <c r="AN404" s="12" t="s">
        <v>3585</v>
      </c>
      <c r="AO404" s="12" t="s">
        <v>3585</v>
      </c>
      <c r="AP404" s="12" t="str">
        <f>"164854100591430"</f>
        <v>164854100591430</v>
      </c>
      <c r="AQ404" s="12" t="s">
        <v>3586</v>
      </c>
      <c r="AR404" s="12" t="s">
        <v>4964</v>
      </c>
      <c r="AS404" s="12" t="s">
        <v>3587</v>
      </c>
      <c r="AT404" s="12"/>
      <c r="AU404" s="12" t="s">
        <v>324</v>
      </c>
      <c r="AV404" s="12" t="s">
        <v>5752</v>
      </c>
      <c r="AW404" s="12"/>
      <c r="AX404" s="12">
        <v>1401</v>
      </c>
      <c r="AY404" s="12">
        <v>1765</v>
      </c>
      <c r="AZ404" s="12">
        <v>1401</v>
      </c>
      <c r="BA404" s="12" t="s">
        <v>3588</v>
      </c>
      <c r="BB404" s="12" t="s">
        <v>6681</v>
      </c>
      <c r="BC404" s="12" t="s">
        <v>6682</v>
      </c>
      <c r="BD404" s="12"/>
      <c r="BE404" s="12" t="s">
        <v>2291</v>
      </c>
      <c r="BF404" s="12"/>
      <c r="BG404" s="12"/>
      <c r="BH404" s="12"/>
      <c r="BI404" s="12" t="s">
        <v>3589</v>
      </c>
      <c r="BJ404" s="12"/>
      <c r="BK404" s="12"/>
      <c r="BL404" s="12" t="s">
        <v>2292</v>
      </c>
      <c r="BM404" s="12" t="s">
        <v>2292</v>
      </c>
      <c r="BN404" s="12" t="s">
        <v>2292</v>
      </c>
      <c r="BO404" s="12" t="s">
        <v>2291</v>
      </c>
      <c r="BP404" s="12" t="s">
        <v>3590</v>
      </c>
      <c r="BQ404" s="12"/>
      <c r="BR404" s="12"/>
      <c r="BS404" s="12"/>
      <c r="BT404" s="12" t="s">
        <v>3591</v>
      </c>
      <c r="BU404" s="12" t="s">
        <v>326</v>
      </c>
      <c r="BV404" s="12"/>
      <c r="BW404" s="12" t="s">
        <v>3592</v>
      </c>
      <c r="BX404" s="12"/>
      <c r="BY404" s="13" t="s">
        <v>313</v>
      </c>
      <c r="BZ404" s="13" t="s">
        <v>6170</v>
      </c>
      <c r="CA404" s="13" t="s">
        <v>6170</v>
      </c>
      <c r="CB404" s="13" t="s">
        <v>6201</v>
      </c>
      <c r="CC404" s="13"/>
      <c r="CD404" s="13" t="s">
        <v>6198</v>
      </c>
      <c r="CE404" s="13"/>
      <c r="CF404" s="13"/>
    </row>
    <row r="405" spans="1:84" ht="18.600000000000001" customHeight="1" x14ac:dyDescent="0.25">
      <c r="A405" s="60" t="s">
        <v>246</v>
      </c>
      <c r="B405" s="2" t="s">
        <v>3158</v>
      </c>
      <c r="C405" s="3" t="s">
        <v>2569</v>
      </c>
      <c r="D405" s="12" t="s">
        <v>1531</v>
      </c>
      <c r="E405" s="12" t="s">
        <v>1532</v>
      </c>
      <c r="F405" s="12" t="s">
        <v>4098</v>
      </c>
      <c r="G405" s="25">
        <v>1181517</v>
      </c>
      <c r="H405" s="25">
        <v>1096489</v>
      </c>
      <c r="I405" s="25">
        <v>55334</v>
      </c>
      <c r="J405" s="25">
        <v>11296</v>
      </c>
      <c r="K405" s="25">
        <v>1348687</v>
      </c>
      <c r="L405" s="25">
        <v>753309</v>
      </c>
      <c r="M405" s="25">
        <v>2101996</v>
      </c>
      <c r="N405" s="31">
        <v>0.64</v>
      </c>
      <c r="O405" s="25">
        <v>194555</v>
      </c>
      <c r="P405" s="25">
        <v>411823</v>
      </c>
      <c r="Q405" s="25">
        <v>8682</v>
      </c>
      <c r="R405" s="25">
        <v>800</v>
      </c>
      <c r="S405" s="25">
        <v>1694</v>
      </c>
      <c r="T405" s="25">
        <v>5050</v>
      </c>
      <c r="U405" s="61">
        <v>2171</v>
      </c>
      <c r="V405" s="58">
        <v>6.7999999999999996E-3</v>
      </c>
      <c r="W405" s="33">
        <v>8.0999999999999996E-3</v>
      </c>
      <c r="X405" s="33">
        <v>4.5999999999999999E-3</v>
      </c>
      <c r="Y405" s="33">
        <v>4.4000000000000003E-3</v>
      </c>
      <c r="Z405" s="33">
        <v>6.1999999999999998E-3</v>
      </c>
      <c r="AA405" s="33">
        <v>4.5999999999999999E-3</v>
      </c>
      <c r="AB405" s="25">
        <v>536</v>
      </c>
      <c r="AC405" s="25">
        <v>336</v>
      </c>
      <c r="AD405" s="25">
        <v>6</v>
      </c>
      <c r="AE405" s="25">
        <v>131</v>
      </c>
      <c r="AF405" s="25">
        <v>45</v>
      </c>
      <c r="AG405" s="25">
        <v>12</v>
      </c>
      <c r="AH405" s="25">
        <v>6</v>
      </c>
      <c r="AI405" s="12">
        <v>1.22</v>
      </c>
      <c r="AJ405" s="25">
        <v>326724</v>
      </c>
      <c r="AK405" s="25">
        <v>4661</v>
      </c>
      <c r="AL405" s="33">
        <v>1.4500000000000001E-2</v>
      </c>
      <c r="AM405" s="3" t="s">
        <v>2569</v>
      </c>
      <c r="AN405" s="12" t="s">
        <v>1532</v>
      </c>
      <c r="AO405" s="12" t="s">
        <v>1532</v>
      </c>
      <c r="AP405" s="12" t="str">
        <f>"215598455177188"</f>
        <v>215598455177188</v>
      </c>
      <c r="AQ405" s="12" t="s">
        <v>1531</v>
      </c>
      <c r="AR405" s="12" t="s">
        <v>4565</v>
      </c>
      <c r="AS405" s="12" t="s">
        <v>3314</v>
      </c>
      <c r="AT405" s="12"/>
      <c r="AU405" s="12" t="s">
        <v>309</v>
      </c>
      <c r="AV405" s="12"/>
      <c r="AW405" s="12"/>
      <c r="AX405" s="12">
        <v>0</v>
      </c>
      <c r="AY405" s="12">
        <v>7910</v>
      </c>
      <c r="AZ405" s="12">
        <v>0</v>
      </c>
      <c r="BA405" s="12" t="s">
        <v>1533</v>
      </c>
      <c r="BB405" s="12" t="s">
        <v>6640</v>
      </c>
      <c r="BC405" s="12" t="s">
        <v>6641</v>
      </c>
      <c r="BD405" s="12"/>
      <c r="BE405" s="12" t="s">
        <v>2291</v>
      </c>
      <c r="BF405" s="12"/>
      <c r="BG405" s="12"/>
      <c r="BH405" s="12"/>
      <c r="BI405" s="12" t="s">
        <v>3249</v>
      </c>
      <c r="BJ405" s="12"/>
      <c r="BK405" s="12"/>
      <c r="BL405" s="12" t="s">
        <v>2292</v>
      </c>
      <c r="BM405" s="12" t="s">
        <v>2292</v>
      </c>
      <c r="BN405" s="12" t="s">
        <v>2292</v>
      </c>
      <c r="BO405" s="12" t="s">
        <v>2291</v>
      </c>
      <c r="BP405" s="12"/>
      <c r="BQ405" s="12"/>
      <c r="BR405" s="12"/>
      <c r="BS405" s="12"/>
      <c r="BT405" s="12"/>
      <c r="BU405" s="12"/>
      <c r="BV405" s="12"/>
      <c r="BW405" s="12" t="s">
        <v>1534</v>
      </c>
      <c r="BX405" s="12"/>
      <c r="BY405" s="13" t="s">
        <v>313</v>
      </c>
      <c r="BZ405" s="13" t="s">
        <v>312</v>
      </c>
      <c r="CA405" s="13"/>
      <c r="CB405" s="13"/>
      <c r="CC405" s="13"/>
      <c r="CD405" s="13"/>
      <c r="CE405" s="13"/>
      <c r="CF405" s="13"/>
    </row>
    <row r="406" spans="1:84" ht="18.600000000000001" customHeight="1" x14ac:dyDescent="0.25">
      <c r="A406" s="60" t="s">
        <v>246</v>
      </c>
      <c r="B406" s="2" t="s">
        <v>5521</v>
      </c>
      <c r="C406" s="10" t="s">
        <v>5523</v>
      </c>
      <c r="D406" s="12" t="s">
        <v>5532</v>
      </c>
      <c r="E406" s="12" t="s">
        <v>5527</v>
      </c>
      <c r="F406" s="12" t="s">
        <v>5544</v>
      </c>
      <c r="G406" s="25">
        <v>1224738</v>
      </c>
      <c r="H406" s="25">
        <v>1098492</v>
      </c>
      <c r="I406" s="25">
        <v>64545</v>
      </c>
      <c r="J406" s="25">
        <v>30869</v>
      </c>
      <c r="K406" s="25">
        <v>3190455</v>
      </c>
      <c r="L406" s="25">
        <v>1169463</v>
      </c>
      <c r="M406" s="25">
        <v>4359918</v>
      </c>
      <c r="N406" s="31">
        <v>0.73</v>
      </c>
      <c r="O406" s="25">
        <v>53355</v>
      </c>
      <c r="P406" s="25">
        <v>732404</v>
      </c>
      <c r="Q406" s="25">
        <v>12713</v>
      </c>
      <c r="R406" s="25">
        <v>616</v>
      </c>
      <c r="S406" s="25">
        <v>2608</v>
      </c>
      <c r="T406" s="25">
        <v>3393</v>
      </c>
      <c r="U406" s="61">
        <v>11491</v>
      </c>
      <c r="V406" s="58">
        <v>1.49E-2</v>
      </c>
      <c r="W406" s="33">
        <v>1.34E-2</v>
      </c>
      <c r="X406" s="33">
        <v>2.8E-3</v>
      </c>
      <c r="Y406" s="33">
        <v>2.41E-2</v>
      </c>
      <c r="Z406" s="33">
        <v>2.3199999999999998E-2</v>
      </c>
      <c r="AA406" s="12" t="s">
        <v>3926</v>
      </c>
      <c r="AB406" s="25">
        <v>604</v>
      </c>
      <c r="AC406" s="25">
        <v>450</v>
      </c>
      <c r="AD406" s="25">
        <v>1</v>
      </c>
      <c r="AE406" s="25">
        <v>92</v>
      </c>
      <c r="AF406" s="25">
        <v>57</v>
      </c>
      <c r="AG406" s="25">
        <v>4</v>
      </c>
      <c r="AH406" s="25">
        <v>0</v>
      </c>
      <c r="AI406" s="12">
        <v>1.38</v>
      </c>
      <c r="AJ406" s="25">
        <v>153690</v>
      </c>
      <c r="AK406" s="25">
        <v>60821</v>
      </c>
      <c r="AL406" s="33">
        <v>0.65490000000000004</v>
      </c>
      <c r="AM406" s="10" t="s">
        <v>5523</v>
      </c>
      <c r="AN406" s="12" t="s">
        <v>5527</v>
      </c>
      <c r="AO406" s="12" t="s">
        <v>5527</v>
      </c>
      <c r="AP406" s="12" t="str">
        <f>"179643115493444"</f>
        <v>179643115493444</v>
      </c>
      <c r="AQ406" s="12" t="s">
        <v>5532</v>
      </c>
      <c r="AR406" s="12" t="s">
        <v>5597</v>
      </c>
      <c r="AS406" s="12" t="s">
        <v>5598</v>
      </c>
      <c r="AT406" s="12"/>
      <c r="AU406" s="12" t="s">
        <v>309</v>
      </c>
      <c r="AV406" s="12"/>
      <c r="AW406" s="12"/>
      <c r="AX406" s="12">
        <v>0</v>
      </c>
      <c r="AY406" s="12">
        <v>20254</v>
      </c>
      <c r="AZ406" s="12">
        <v>0</v>
      </c>
      <c r="BA406" s="12" t="s">
        <v>5599</v>
      </c>
      <c r="BB406" s="12" t="s">
        <v>7182</v>
      </c>
      <c r="BC406" s="12" t="s">
        <v>7183</v>
      </c>
      <c r="BD406" s="12" t="s">
        <v>5600</v>
      </c>
      <c r="BE406" s="12" t="s">
        <v>2291</v>
      </c>
      <c r="BF406" s="12"/>
      <c r="BG406" s="12"/>
      <c r="BH406" s="12"/>
      <c r="BI406" s="12"/>
      <c r="BJ406" s="12"/>
      <c r="BK406" s="12"/>
      <c r="BL406" s="12" t="s">
        <v>2292</v>
      </c>
      <c r="BM406" s="12" t="s">
        <v>2292</v>
      </c>
      <c r="BN406" s="12" t="s">
        <v>2292</v>
      </c>
      <c r="BO406" s="12" t="s">
        <v>2291</v>
      </c>
      <c r="BP406" s="12"/>
      <c r="BQ406" s="12"/>
      <c r="BR406" s="12" t="s">
        <v>5601</v>
      </c>
      <c r="BS406" s="12"/>
      <c r="BT406" s="12"/>
      <c r="BU406" s="12"/>
      <c r="BV406" s="12"/>
      <c r="BW406" s="12" t="s">
        <v>5602</v>
      </c>
      <c r="BX406" s="12"/>
      <c r="BY406" s="13" t="s">
        <v>313</v>
      </c>
      <c r="BZ406" s="13" t="s">
        <v>312</v>
      </c>
      <c r="CA406" s="13"/>
      <c r="CB406" s="13"/>
      <c r="CC406" s="13"/>
      <c r="CD406" s="13"/>
      <c r="CE406" s="13"/>
      <c r="CF406" s="13"/>
    </row>
    <row r="407" spans="1:84" ht="18.600000000000001" customHeight="1" x14ac:dyDescent="0.25">
      <c r="A407" s="60" t="s">
        <v>246</v>
      </c>
      <c r="B407" s="29" t="s">
        <v>5522</v>
      </c>
      <c r="C407" s="10" t="s">
        <v>5524</v>
      </c>
      <c r="D407" s="12" t="s">
        <v>5534</v>
      </c>
      <c r="E407" s="12" t="s">
        <v>5525</v>
      </c>
      <c r="F407" s="12" t="s">
        <v>5535</v>
      </c>
      <c r="G407" s="25">
        <v>2470879</v>
      </c>
      <c r="H407" s="25">
        <v>2345482</v>
      </c>
      <c r="I407" s="25">
        <v>74010</v>
      </c>
      <c r="J407" s="25">
        <v>24353</v>
      </c>
      <c r="K407" s="25">
        <v>3141337</v>
      </c>
      <c r="L407" s="25">
        <v>459379</v>
      </c>
      <c r="M407" s="25">
        <v>3600716</v>
      </c>
      <c r="N407" s="31">
        <v>0.87</v>
      </c>
      <c r="O407" s="25">
        <v>438061</v>
      </c>
      <c r="P407" s="25">
        <v>390635</v>
      </c>
      <c r="Q407" s="25">
        <v>15507</v>
      </c>
      <c r="R407" s="25">
        <v>2323</v>
      </c>
      <c r="S407" s="25">
        <v>2105</v>
      </c>
      <c r="T407" s="25">
        <v>4322</v>
      </c>
      <c r="U407" s="61">
        <v>2733</v>
      </c>
      <c r="V407" s="58">
        <v>7.1999999999999998E-3</v>
      </c>
      <c r="W407" s="33">
        <v>8.8000000000000005E-3</v>
      </c>
      <c r="X407" s="33">
        <v>2.8E-3</v>
      </c>
      <c r="Y407" s="33">
        <v>5.4000000000000003E-3</v>
      </c>
      <c r="Z407" s="33">
        <v>3.5999999999999999E-3</v>
      </c>
      <c r="AA407" s="33">
        <v>4.0000000000000002E-4</v>
      </c>
      <c r="AB407" s="25">
        <v>684</v>
      </c>
      <c r="AC407" s="25">
        <v>493</v>
      </c>
      <c r="AD407" s="25">
        <v>35</v>
      </c>
      <c r="AE407" s="25">
        <v>56</v>
      </c>
      <c r="AF407" s="25">
        <v>72</v>
      </c>
      <c r="AG407" s="25">
        <v>26</v>
      </c>
      <c r="AH407" s="25">
        <v>2</v>
      </c>
      <c r="AI407" s="12">
        <v>1.56</v>
      </c>
      <c r="AJ407" s="25">
        <v>500060</v>
      </c>
      <c r="AK407" s="25">
        <v>29547</v>
      </c>
      <c r="AL407" s="33">
        <v>6.2799999999999995E-2</v>
      </c>
      <c r="AM407" s="10" t="s">
        <v>5524</v>
      </c>
      <c r="AN407" s="12" t="s">
        <v>5525</v>
      </c>
      <c r="AO407" s="12" t="s">
        <v>5525</v>
      </c>
      <c r="AP407" s="12" t="str">
        <f>"307617160152"</f>
        <v>307617160152</v>
      </c>
      <c r="AQ407" s="12" t="s">
        <v>5534</v>
      </c>
      <c r="AR407" s="12" t="s">
        <v>5556</v>
      </c>
      <c r="AS407" s="12" t="s">
        <v>5557</v>
      </c>
      <c r="AT407" s="12" t="s">
        <v>5558</v>
      </c>
      <c r="AU407" s="12" t="s">
        <v>309</v>
      </c>
      <c r="AV407" s="12"/>
      <c r="AW407" s="12"/>
      <c r="AX407" s="12">
        <v>0</v>
      </c>
      <c r="AY407" s="12">
        <v>6257</v>
      </c>
      <c r="AZ407" s="12">
        <v>0</v>
      </c>
      <c r="BA407" s="12" t="s">
        <v>5559</v>
      </c>
      <c r="BB407" s="12" t="s">
        <v>5747</v>
      </c>
      <c r="BC407" s="12" t="s">
        <v>6335</v>
      </c>
      <c r="BD407" s="12"/>
      <c r="BE407" s="12" t="s">
        <v>2291</v>
      </c>
      <c r="BF407" s="12"/>
      <c r="BG407" s="12"/>
      <c r="BH407" s="12"/>
      <c r="BI407" s="12"/>
      <c r="BJ407" s="12"/>
      <c r="BK407" s="12"/>
      <c r="BL407" s="12" t="s">
        <v>2292</v>
      </c>
      <c r="BM407" s="12" t="s">
        <v>2292</v>
      </c>
      <c r="BN407" s="12" t="s">
        <v>2292</v>
      </c>
      <c r="BO407" s="12" t="s">
        <v>2291</v>
      </c>
      <c r="BP407" s="12"/>
      <c r="BQ407" s="12"/>
      <c r="BR407" s="12"/>
      <c r="BS407" s="12"/>
      <c r="BT407" s="12"/>
      <c r="BU407" s="12"/>
      <c r="BV407" s="12"/>
      <c r="BW407" s="12" t="s">
        <v>1530</v>
      </c>
      <c r="BX407" s="12"/>
      <c r="BY407" s="13" t="s">
        <v>313</v>
      </c>
      <c r="BZ407" s="13" t="s">
        <v>6174</v>
      </c>
      <c r="CA407" s="13" t="s">
        <v>6170</v>
      </c>
      <c r="CB407" s="13" t="s">
        <v>6199</v>
      </c>
      <c r="CC407" s="13"/>
      <c r="CD407" s="13" t="s">
        <v>6198</v>
      </c>
      <c r="CE407" s="13"/>
      <c r="CF407" s="13"/>
    </row>
    <row r="408" spans="1:84" ht="18.600000000000001" customHeight="1" x14ac:dyDescent="0.25">
      <c r="A408" s="60" t="s">
        <v>246</v>
      </c>
      <c r="B408" s="2" t="s">
        <v>335</v>
      </c>
      <c r="C408" s="3" t="s">
        <v>3905</v>
      </c>
      <c r="D408" s="12" t="s">
        <v>1536</v>
      </c>
      <c r="E408" s="12" t="s">
        <v>1535</v>
      </c>
      <c r="F408" s="12" t="s">
        <v>4184</v>
      </c>
      <c r="G408" s="25">
        <v>14615</v>
      </c>
      <c r="H408" s="25">
        <v>9704</v>
      </c>
      <c r="I408" s="25">
        <v>415</v>
      </c>
      <c r="J408" s="25">
        <v>4109</v>
      </c>
      <c r="K408" s="25">
        <v>34959</v>
      </c>
      <c r="L408" s="25">
        <v>254760</v>
      </c>
      <c r="M408" s="25">
        <v>289719</v>
      </c>
      <c r="N408" s="31">
        <v>0.12</v>
      </c>
      <c r="O408" s="25">
        <v>10295</v>
      </c>
      <c r="P408" s="25">
        <v>15653</v>
      </c>
      <c r="Q408" s="25">
        <v>360</v>
      </c>
      <c r="R408" s="25">
        <v>14</v>
      </c>
      <c r="S408" s="25">
        <v>8</v>
      </c>
      <c r="T408" s="25">
        <v>3</v>
      </c>
      <c r="U408" s="61">
        <v>2</v>
      </c>
      <c r="V408" s="58">
        <v>6.0000000000000001E-3</v>
      </c>
      <c r="W408" s="33">
        <v>2.8999999999999998E-3</v>
      </c>
      <c r="X408" s="33">
        <v>2.8999999999999998E-3</v>
      </c>
      <c r="Y408" s="33">
        <v>1.2999999999999999E-3</v>
      </c>
      <c r="Z408" s="33">
        <v>8.0100000000000005E-2</v>
      </c>
      <c r="AA408" s="33">
        <v>2.3999999999999998E-3</v>
      </c>
      <c r="AB408" s="25">
        <v>270</v>
      </c>
      <c r="AC408" s="25">
        <v>61</v>
      </c>
      <c r="AD408" s="25">
        <v>164</v>
      </c>
      <c r="AE408" s="25">
        <v>13</v>
      </c>
      <c r="AF408" s="25">
        <v>11</v>
      </c>
      <c r="AG408" s="25">
        <v>14</v>
      </c>
      <c r="AH408" s="25">
        <v>7</v>
      </c>
      <c r="AI408" s="12">
        <v>0.62</v>
      </c>
      <c r="AJ408" s="25">
        <v>11459</v>
      </c>
      <c r="AK408" s="25">
        <v>5800</v>
      </c>
      <c r="AL408" s="33">
        <v>1.0248999999999999</v>
      </c>
      <c r="AM408" s="3" t="s">
        <v>3905</v>
      </c>
      <c r="AN408" s="12" t="s">
        <v>1535</v>
      </c>
      <c r="AO408" s="12" t="s">
        <v>1535</v>
      </c>
      <c r="AP408" s="12" t="str">
        <f>"201498066548054"</f>
        <v>201498066548054</v>
      </c>
      <c r="AQ408" s="12" t="s">
        <v>1536</v>
      </c>
      <c r="AR408" s="12" t="s">
        <v>1537</v>
      </c>
      <c r="AS408" s="12"/>
      <c r="AT408" s="12"/>
      <c r="AU408" s="12" t="s">
        <v>324</v>
      </c>
      <c r="AV408" s="12" t="s">
        <v>5731</v>
      </c>
      <c r="AW408" s="12"/>
      <c r="AX408" s="12">
        <v>131</v>
      </c>
      <c r="AY408" s="12">
        <v>404</v>
      </c>
      <c r="AZ408" s="12">
        <v>0</v>
      </c>
      <c r="BA408" s="12" t="s">
        <v>4590</v>
      </c>
      <c r="BB408" s="12" t="s">
        <v>6845</v>
      </c>
      <c r="BC408" s="12" t="s">
        <v>6846</v>
      </c>
      <c r="BD408" s="12"/>
      <c r="BE408" s="12" t="s">
        <v>2291</v>
      </c>
      <c r="BF408" s="12"/>
      <c r="BG408" s="12"/>
      <c r="BH408" s="12"/>
      <c r="BI408" s="12" t="s">
        <v>2759</v>
      </c>
      <c r="BJ408" s="12"/>
      <c r="BK408" s="12" t="s">
        <v>6393</v>
      </c>
      <c r="BL408" s="12" t="s">
        <v>2292</v>
      </c>
      <c r="BM408" s="12" t="s">
        <v>2292</v>
      </c>
      <c r="BN408" s="12" t="s">
        <v>2292</v>
      </c>
      <c r="BO408" s="12" t="s">
        <v>2291</v>
      </c>
      <c r="BP408" s="12"/>
      <c r="BQ408" s="12"/>
      <c r="BR408" s="12"/>
      <c r="BS408" s="12"/>
      <c r="BT408" s="12"/>
      <c r="BU408" s="12" t="s">
        <v>326</v>
      </c>
      <c r="BV408" s="12"/>
      <c r="BW408" s="12" t="s">
        <v>4591</v>
      </c>
      <c r="BX408" s="12"/>
      <c r="BY408" s="13" t="s">
        <v>313</v>
      </c>
      <c r="BZ408" s="13" t="s">
        <v>6174</v>
      </c>
      <c r="CA408" s="13"/>
      <c r="CB408" s="13"/>
      <c r="CC408" s="13"/>
      <c r="CD408" s="13"/>
      <c r="CE408" s="13"/>
      <c r="CF408" s="13"/>
    </row>
    <row r="409" spans="1:84" ht="18.600000000000001" customHeight="1" x14ac:dyDescent="0.25">
      <c r="A409" s="60" t="s">
        <v>150</v>
      </c>
      <c r="B409" s="2" t="s">
        <v>1539</v>
      </c>
      <c r="C409" s="3" t="s">
        <v>6238</v>
      </c>
      <c r="D409" s="12" t="s">
        <v>1538</v>
      </c>
      <c r="E409" s="12" t="s">
        <v>7173</v>
      </c>
      <c r="F409" s="12" t="s">
        <v>7422</v>
      </c>
      <c r="G409" s="25">
        <v>27737</v>
      </c>
      <c r="H409" s="25">
        <v>21838</v>
      </c>
      <c r="I409" s="25">
        <v>485</v>
      </c>
      <c r="J409" s="25">
        <v>4564</v>
      </c>
      <c r="K409" s="25">
        <v>59284</v>
      </c>
      <c r="L409" s="25">
        <v>53307</v>
      </c>
      <c r="M409" s="25">
        <v>112591</v>
      </c>
      <c r="N409" s="31">
        <v>0.53</v>
      </c>
      <c r="O409" s="25">
        <v>1831</v>
      </c>
      <c r="P409" s="25">
        <v>8849</v>
      </c>
      <c r="Q409" s="25">
        <v>650</v>
      </c>
      <c r="R409" s="25">
        <v>46</v>
      </c>
      <c r="S409" s="25">
        <v>49</v>
      </c>
      <c r="T409" s="25">
        <v>93</v>
      </c>
      <c r="U409" s="61">
        <v>12</v>
      </c>
      <c r="V409" s="58">
        <v>5.5999999999999999E-3</v>
      </c>
      <c r="W409" s="33">
        <v>6.1999999999999998E-3</v>
      </c>
      <c r="X409" s="33">
        <v>6.6E-3</v>
      </c>
      <c r="Y409" s="33">
        <v>6.6E-3</v>
      </c>
      <c r="Z409" s="33">
        <v>7.1999999999999998E-3</v>
      </c>
      <c r="AA409" s="33">
        <v>8.9999999999999998E-4</v>
      </c>
      <c r="AB409" s="25">
        <v>261</v>
      </c>
      <c r="AC409" s="25">
        <v>206</v>
      </c>
      <c r="AD409" s="25">
        <v>2</v>
      </c>
      <c r="AE409" s="25">
        <v>5</v>
      </c>
      <c r="AF409" s="25">
        <v>20</v>
      </c>
      <c r="AG409" s="25">
        <v>1</v>
      </c>
      <c r="AH409" s="25">
        <v>27</v>
      </c>
      <c r="AI409" s="12">
        <v>0.59</v>
      </c>
      <c r="AJ409" s="25">
        <v>19362</v>
      </c>
      <c r="AK409" s="25">
        <v>1772</v>
      </c>
      <c r="AL409" s="33">
        <v>0.1007</v>
      </c>
      <c r="AM409" s="3" t="s">
        <v>6238</v>
      </c>
      <c r="AN409" s="12" t="s">
        <v>7173</v>
      </c>
      <c r="AO409" s="12" t="s">
        <v>7173</v>
      </c>
      <c r="AP409" s="12" t="str">
        <f>"1647539918829065"</f>
        <v>1647539918829065</v>
      </c>
      <c r="AQ409" s="12" t="s">
        <v>1538</v>
      </c>
      <c r="AR409" s="12" t="s">
        <v>1540</v>
      </c>
      <c r="AS409" s="12" t="s">
        <v>7174</v>
      </c>
      <c r="AT409" s="12"/>
      <c r="AU409" s="12" t="s">
        <v>309</v>
      </c>
      <c r="AV409" s="12"/>
      <c r="AW409" s="12"/>
      <c r="AX409" s="12">
        <v>0</v>
      </c>
      <c r="AY409" s="12">
        <v>92</v>
      </c>
      <c r="AZ409" s="12">
        <v>0</v>
      </c>
      <c r="BA409" s="12" t="s">
        <v>7175</v>
      </c>
      <c r="BB409" s="12" t="s">
        <v>7176</v>
      </c>
      <c r="BC409" s="12" t="s">
        <v>7177</v>
      </c>
      <c r="BD409" s="12"/>
      <c r="BE409" s="12" t="s">
        <v>2291</v>
      </c>
      <c r="BF409" s="12"/>
      <c r="BG409" s="12"/>
      <c r="BH409" s="12"/>
      <c r="BI409" s="12" t="s">
        <v>7178</v>
      </c>
      <c r="BJ409" s="12"/>
      <c r="BK409" s="12"/>
      <c r="BL409" s="12" t="s">
        <v>2292</v>
      </c>
      <c r="BM409" s="12" t="s">
        <v>2292</v>
      </c>
      <c r="BN409" s="12" t="s">
        <v>2292</v>
      </c>
      <c r="BO409" s="12" t="s">
        <v>2291</v>
      </c>
      <c r="BP409" s="12"/>
      <c r="BQ409" s="12"/>
      <c r="BR409" s="12"/>
      <c r="BS409" s="12"/>
      <c r="BT409" s="12"/>
      <c r="BU409" s="12"/>
      <c r="BV409" s="12"/>
      <c r="BW409" s="12" t="s">
        <v>7179</v>
      </c>
      <c r="BX409" s="12"/>
      <c r="BY409" s="2"/>
      <c r="BZ409" s="13" t="s">
        <v>6170</v>
      </c>
      <c r="CA409" s="13" t="s">
        <v>6170</v>
      </c>
      <c r="CB409" s="13" t="s">
        <v>312</v>
      </c>
      <c r="CC409" s="13"/>
      <c r="CD409" s="13" t="s">
        <v>6198</v>
      </c>
      <c r="CE409" s="13"/>
      <c r="CF409" s="13"/>
    </row>
    <row r="410" spans="1:84" ht="18.600000000000001" customHeight="1" x14ac:dyDescent="0.25">
      <c r="A410" s="60" t="s">
        <v>150</v>
      </c>
      <c r="B410" s="2" t="s">
        <v>315</v>
      </c>
      <c r="C410" s="20" t="s">
        <v>3870</v>
      </c>
      <c r="D410" s="12" t="s">
        <v>1541</v>
      </c>
      <c r="E410" s="12" t="s">
        <v>4413</v>
      </c>
      <c r="F410" s="12" t="s">
        <v>4414</v>
      </c>
      <c r="G410" s="25">
        <v>9714</v>
      </c>
      <c r="H410" s="25">
        <v>5804</v>
      </c>
      <c r="I410" s="25">
        <v>227</v>
      </c>
      <c r="J410" s="25">
        <v>3496</v>
      </c>
      <c r="K410" s="25">
        <v>92443</v>
      </c>
      <c r="L410" s="25">
        <v>46205</v>
      </c>
      <c r="M410" s="25">
        <v>138648</v>
      </c>
      <c r="N410" s="31">
        <v>0.67</v>
      </c>
      <c r="O410" s="25">
        <v>4672</v>
      </c>
      <c r="P410" s="25">
        <v>2751</v>
      </c>
      <c r="Q410" s="25">
        <v>79</v>
      </c>
      <c r="R410" s="25">
        <v>28</v>
      </c>
      <c r="S410" s="25">
        <v>49</v>
      </c>
      <c r="T410" s="25">
        <v>10</v>
      </c>
      <c r="U410" s="61">
        <v>21</v>
      </c>
      <c r="V410" s="58">
        <v>1.0800000000000001E-2</v>
      </c>
      <c r="W410" s="33">
        <v>1.0500000000000001E-2</v>
      </c>
      <c r="X410" s="33">
        <v>3.2000000000000002E-3</v>
      </c>
      <c r="Y410" s="33">
        <v>1.1000000000000001E-3</v>
      </c>
      <c r="Z410" s="33">
        <v>2.1499999999999998E-2</v>
      </c>
      <c r="AA410" s="33">
        <v>6.3E-3</v>
      </c>
      <c r="AB410" s="25">
        <v>758</v>
      </c>
      <c r="AC410" s="25">
        <v>496</v>
      </c>
      <c r="AD410" s="25">
        <v>111</v>
      </c>
      <c r="AE410" s="25">
        <v>1</v>
      </c>
      <c r="AF410" s="25">
        <v>84</v>
      </c>
      <c r="AG410" s="25">
        <v>47</v>
      </c>
      <c r="AH410" s="25">
        <v>19</v>
      </c>
      <c r="AI410" s="12">
        <v>1.73</v>
      </c>
      <c r="AJ410" s="25">
        <v>1898</v>
      </c>
      <c r="AK410" s="25">
        <v>1314</v>
      </c>
      <c r="AL410" s="33">
        <v>2.25</v>
      </c>
      <c r="AM410" s="20" t="s">
        <v>3870</v>
      </c>
      <c r="AN410" s="12" t="s">
        <v>4413</v>
      </c>
      <c r="AO410" s="12" t="s">
        <v>4413</v>
      </c>
      <c r="AP410" s="12" t="str">
        <f>"1764718630423929"</f>
        <v>1764718630423929</v>
      </c>
      <c r="AQ410" s="12" t="s">
        <v>1541</v>
      </c>
      <c r="AR410" s="12" t="s">
        <v>3327</v>
      </c>
      <c r="AS410" s="12" t="s">
        <v>4651</v>
      </c>
      <c r="AT410" s="12"/>
      <c r="AU410" s="12" t="s">
        <v>5257</v>
      </c>
      <c r="AV410" s="12" t="s">
        <v>5764</v>
      </c>
      <c r="AW410" s="12">
        <v>1918</v>
      </c>
      <c r="AX410" s="12">
        <v>793</v>
      </c>
      <c r="AY410" s="12">
        <v>61</v>
      </c>
      <c r="AZ410" s="12">
        <v>793</v>
      </c>
      <c r="BA410" s="12" t="s">
        <v>4652</v>
      </c>
      <c r="BB410" s="12" t="s">
        <v>7369</v>
      </c>
      <c r="BC410" s="12" t="s">
        <v>7370</v>
      </c>
      <c r="BD410" s="12"/>
      <c r="BE410" s="12" t="s">
        <v>2291</v>
      </c>
      <c r="BF410" s="12"/>
      <c r="BG410" s="12"/>
      <c r="BH410" s="12"/>
      <c r="BI410" s="12" t="s">
        <v>4653</v>
      </c>
      <c r="BJ410" s="12"/>
      <c r="BK410" s="12" t="s">
        <v>6396</v>
      </c>
      <c r="BL410" s="12" t="s">
        <v>2292</v>
      </c>
      <c r="BM410" s="12" t="s">
        <v>2292</v>
      </c>
      <c r="BN410" s="12" t="s">
        <v>2292</v>
      </c>
      <c r="BO410" s="12" t="s">
        <v>2292</v>
      </c>
      <c r="BP410" s="12"/>
      <c r="BQ410" s="12"/>
      <c r="BR410" s="12"/>
      <c r="BS410" s="12"/>
      <c r="BT410" s="12" t="s">
        <v>4654</v>
      </c>
      <c r="BU410" s="12" t="s">
        <v>326</v>
      </c>
      <c r="BV410" s="12"/>
      <c r="BW410" s="12" t="s">
        <v>4655</v>
      </c>
      <c r="BX410" s="12"/>
      <c r="BY410" s="13" t="s">
        <v>313</v>
      </c>
      <c r="BZ410" s="13" t="s">
        <v>6174</v>
      </c>
      <c r="CA410" s="13" t="s">
        <v>6170</v>
      </c>
      <c r="CB410" s="13" t="s">
        <v>6201</v>
      </c>
      <c r="CC410" s="13"/>
      <c r="CD410" s="13" t="s">
        <v>6198</v>
      </c>
      <c r="CE410" s="13"/>
      <c r="CF410" s="13" t="s">
        <v>6178</v>
      </c>
    </row>
    <row r="411" spans="1:84" ht="18.600000000000001" customHeight="1" x14ac:dyDescent="0.25">
      <c r="A411" s="60" t="s">
        <v>150</v>
      </c>
      <c r="B411" s="2" t="s">
        <v>335</v>
      </c>
      <c r="C411" s="3" t="s">
        <v>4775</v>
      </c>
      <c r="D411" s="12" t="s">
        <v>1542</v>
      </c>
      <c r="E411" s="12" t="s">
        <v>3150</v>
      </c>
      <c r="F411" s="12" t="s">
        <v>3957</v>
      </c>
      <c r="G411" s="25">
        <v>4921</v>
      </c>
      <c r="H411" s="25">
        <v>3805</v>
      </c>
      <c r="I411" s="25">
        <v>69</v>
      </c>
      <c r="J411" s="25">
        <v>880</v>
      </c>
      <c r="K411" s="25">
        <v>361</v>
      </c>
      <c r="L411" s="25">
        <v>65</v>
      </c>
      <c r="M411" s="25">
        <v>426</v>
      </c>
      <c r="N411" s="31">
        <v>0.85</v>
      </c>
      <c r="O411" s="25">
        <v>1054</v>
      </c>
      <c r="P411" s="25">
        <v>0</v>
      </c>
      <c r="Q411" s="25">
        <v>40</v>
      </c>
      <c r="R411" s="25">
        <v>11</v>
      </c>
      <c r="S411" s="25">
        <v>105</v>
      </c>
      <c r="T411" s="25">
        <v>9</v>
      </c>
      <c r="U411" s="61">
        <v>2</v>
      </c>
      <c r="V411" s="58">
        <v>3.3E-3</v>
      </c>
      <c r="W411" s="33">
        <v>4.4999999999999997E-3</v>
      </c>
      <c r="X411" s="33">
        <v>3.0999999999999999E-3</v>
      </c>
      <c r="Y411" s="33">
        <v>1.6999999999999999E-3</v>
      </c>
      <c r="Z411" s="33">
        <v>2.8E-3</v>
      </c>
      <c r="AA411" s="33">
        <v>1.4E-3</v>
      </c>
      <c r="AB411" s="25">
        <v>379</v>
      </c>
      <c r="AC411" s="25">
        <v>116</v>
      </c>
      <c r="AD411" s="25">
        <v>248</v>
      </c>
      <c r="AE411" s="25">
        <v>6</v>
      </c>
      <c r="AF411" s="25">
        <v>3</v>
      </c>
      <c r="AG411" s="25">
        <v>4</v>
      </c>
      <c r="AH411" s="25">
        <v>2</v>
      </c>
      <c r="AI411" s="12">
        <v>0.86</v>
      </c>
      <c r="AJ411" s="25">
        <v>3727</v>
      </c>
      <c r="AK411" s="25">
        <v>361</v>
      </c>
      <c r="AL411" s="33">
        <v>0.1072</v>
      </c>
      <c r="AM411" s="3" t="s">
        <v>4775</v>
      </c>
      <c r="AN411" s="12" t="s">
        <v>3150</v>
      </c>
      <c r="AO411" s="12" t="s">
        <v>3150</v>
      </c>
      <c r="AP411" s="12" t="str">
        <f>"261199903908113"</f>
        <v>261199903908113</v>
      </c>
      <c r="AQ411" s="12" t="s">
        <v>1542</v>
      </c>
      <c r="AR411" s="12" t="s">
        <v>1543</v>
      </c>
      <c r="AS411" s="12" t="s">
        <v>1544</v>
      </c>
      <c r="AT411" s="12"/>
      <c r="AU411" s="12" t="s">
        <v>4907</v>
      </c>
      <c r="AV411" s="12" t="s">
        <v>5827</v>
      </c>
      <c r="AW411" s="12"/>
      <c r="AX411" s="12">
        <v>591</v>
      </c>
      <c r="AY411" s="12">
        <v>66</v>
      </c>
      <c r="AZ411" s="12">
        <v>591</v>
      </c>
      <c r="BA411" s="12" t="s">
        <v>4774</v>
      </c>
      <c r="BB411" s="12" t="s">
        <v>6759</v>
      </c>
      <c r="BC411" s="12" t="s">
        <v>6760</v>
      </c>
      <c r="BD411" s="12"/>
      <c r="BE411" s="12" t="s">
        <v>2291</v>
      </c>
      <c r="BF411" s="12"/>
      <c r="BG411" s="12"/>
      <c r="BH411" s="12"/>
      <c r="BI411" s="12" t="s">
        <v>1545</v>
      </c>
      <c r="BJ411" s="12"/>
      <c r="BK411" s="12"/>
      <c r="BL411" s="12" t="s">
        <v>2292</v>
      </c>
      <c r="BM411" s="12" t="s">
        <v>2292</v>
      </c>
      <c r="BN411" s="12" t="s">
        <v>2292</v>
      </c>
      <c r="BO411" s="12" t="s">
        <v>2292</v>
      </c>
      <c r="BP411" s="12"/>
      <c r="BQ411" s="12"/>
      <c r="BR411" s="12"/>
      <c r="BS411" s="12"/>
      <c r="BT411" s="12"/>
      <c r="BU411" s="12" t="s">
        <v>326</v>
      </c>
      <c r="BV411" s="12"/>
      <c r="BW411" s="12" t="s">
        <v>5348</v>
      </c>
      <c r="BX411" s="12"/>
      <c r="BY411" s="13" t="s">
        <v>313</v>
      </c>
      <c r="BZ411" s="13" t="s">
        <v>6170</v>
      </c>
      <c r="CA411" s="13" t="s">
        <v>6170</v>
      </c>
      <c r="CB411" s="13" t="s">
        <v>312</v>
      </c>
      <c r="CC411" s="13"/>
      <c r="CD411" s="13" t="s">
        <v>6198</v>
      </c>
      <c r="CE411" s="13"/>
      <c r="CF411" s="13"/>
    </row>
    <row r="412" spans="1:84" ht="18.600000000000001" customHeight="1" x14ac:dyDescent="0.25">
      <c r="A412" s="60" t="s">
        <v>151</v>
      </c>
      <c r="B412" s="2" t="s">
        <v>1552</v>
      </c>
      <c r="C412" s="3" t="s">
        <v>2299</v>
      </c>
      <c r="D412" s="12" t="s">
        <v>1546</v>
      </c>
      <c r="E412" s="12" t="s">
        <v>1547</v>
      </c>
      <c r="F412" s="12" t="s">
        <v>3930</v>
      </c>
      <c r="G412" s="25">
        <v>2433</v>
      </c>
      <c r="H412" s="25">
        <v>2297</v>
      </c>
      <c r="I412" s="25">
        <v>35</v>
      </c>
      <c r="J412" s="25">
        <v>77</v>
      </c>
      <c r="K412" s="25">
        <v>0</v>
      </c>
      <c r="L412" s="25">
        <v>0</v>
      </c>
      <c r="M412" s="25">
        <v>0</v>
      </c>
      <c r="N412" s="31">
        <v>0</v>
      </c>
      <c r="O412" s="25">
        <v>0</v>
      </c>
      <c r="P412" s="25">
        <v>0</v>
      </c>
      <c r="Q412" s="25">
        <v>23</v>
      </c>
      <c r="R412" s="25">
        <v>0</v>
      </c>
      <c r="S412" s="25">
        <v>0</v>
      </c>
      <c r="T412" s="25">
        <v>0</v>
      </c>
      <c r="U412" s="61">
        <v>1</v>
      </c>
      <c r="V412" s="58">
        <v>1.7100000000000001E-2</v>
      </c>
      <c r="W412" s="33">
        <v>1.84E-2</v>
      </c>
      <c r="X412" s="33">
        <v>9.9000000000000008E-3</v>
      </c>
      <c r="Y412" s="12" t="s">
        <v>3926</v>
      </c>
      <c r="Z412" s="12" t="s">
        <v>3926</v>
      </c>
      <c r="AA412" s="33">
        <v>8.6E-3</v>
      </c>
      <c r="AB412" s="25">
        <v>145</v>
      </c>
      <c r="AC412" s="25">
        <v>137</v>
      </c>
      <c r="AD412" s="25">
        <v>7</v>
      </c>
      <c r="AE412" s="25">
        <v>0</v>
      </c>
      <c r="AF412" s="25">
        <v>0</v>
      </c>
      <c r="AG412" s="25">
        <v>0</v>
      </c>
      <c r="AH412" s="25">
        <v>1</v>
      </c>
      <c r="AI412" s="12">
        <v>0.33</v>
      </c>
      <c r="AJ412" s="25">
        <v>1004</v>
      </c>
      <c r="AK412" s="25">
        <v>159</v>
      </c>
      <c r="AL412" s="33">
        <v>0.18820000000000001</v>
      </c>
      <c r="AM412" s="3" t="s">
        <v>2299</v>
      </c>
      <c r="AN412" s="12" t="s">
        <v>1547</v>
      </c>
      <c r="AO412" s="12" t="s">
        <v>1547</v>
      </c>
      <c r="AP412" s="12" t="str">
        <f>"171989386301782"</f>
        <v>171989386301782</v>
      </c>
      <c r="AQ412" s="12" t="s">
        <v>1546</v>
      </c>
      <c r="AR412" s="12" t="s">
        <v>1548</v>
      </c>
      <c r="AS412" s="12" t="s">
        <v>1549</v>
      </c>
      <c r="AT412" s="12"/>
      <c r="AU412" s="12" t="s">
        <v>309</v>
      </c>
      <c r="AV412" s="12"/>
      <c r="AW412" s="12"/>
      <c r="AX412" s="12">
        <v>0</v>
      </c>
      <c r="AY412" s="12">
        <v>89</v>
      </c>
      <c r="AZ412" s="12">
        <v>0</v>
      </c>
      <c r="BA412" s="12" t="s">
        <v>1550</v>
      </c>
      <c r="BB412" s="12" t="s">
        <v>6263</v>
      </c>
      <c r="BC412" s="12" t="s">
        <v>6264</v>
      </c>
      <c r="BD412" s="12"/>
      <c r="BE412" s="12" t="s">
        <v>2291</v>
      </c>
      <c r="BF412" s="12"/>
      <c r="BG412" s="12"/>
      <c r="BH412" s="12"/>
      <c r="BI412" s="12"/>
      <c r="BJ412" s="12"/>
      <c r="BK412" s="12"/>
      <c r="BL412" s="12" t="s">
        <v>2292</v>
      </c>
      <c r="BM412" s="12" t="s">
        <v>2292</v>
      </c>
      <c r="BN412" s="12" t="s">
        <v>2292</v>
      </c>
      <c r="BO412" s="12" t="s">
        <v>2292</v>
      </c>
      <c r="BP412" s="12"/>
      <c r="BQ412" s="12"/>
      <c r="BR412" s="12"/>
      <c r="BS412" s="12"/>
      <c r="BT412" s="12"/>
      <c r="BU412" s="12"/>
      <c r="BV412" s="12"/>
      <c r="BW412" s="12" t="s">
        <v>1551</v>
      </c>
      <c r="BX412" s="12"/>
      <c r="BY412" s="13" t="s">
        <v>313</v>
      </c>
      <c r="BZ412" s="13" t="s">
        <v>6170</v>
      </c>
      <c r="CA412" s="13" t="s">
        <v>6170</v>
      </c>
      <c r="CB412" s="13" t="s">
        <v>6200</v>
      </c>
      <c r="CC412" s="13"/>
      <c r="CD412" s="13" t="s">
        <v>6198</v>
      </c>
      <c r="CE412" s="13"/>
      <c r="CF412" s="13"/>
    </row>
    <row r="413" spans="1:84" ht="18.600000000000001" customHeight="1" x14ac:dyDescent="0.25">
      <c r="A413" s="60" t="s">
        <v>151</v>
      </c>
      <c r="B413" s="2" t="s">
        <v>315</v>
      </c>
      <c r="C413" s="3" t="s">
        <v>2947</v>
      </c>
      <c r="D413" s="12" t="s">
        <v>1553</v>
      </c>
      <c r="E413" s="12"/>
      <c r="F413" s="12" t="s">
        <v>4445</v>
      </c>
      <c r="G413" s="25">
        <v>267</v>
      </c>
      <c r="H413" s="25">
        <v>245</v>
      </c>
      <c r="I413" s="25">
        <v>6</v>
      </c>
      <c r="J413" s="25">
        <v>12</v>
      </c>
      <c r="K413" s="25">
        <v>0</v>
      </c>
      <c r="L413" s="25">
        <v>0</v>
      </c>
      <c r="M413" s="25">
        <v>0</v>
      </c>
      <c r="N413" s="31">
        <v>0</v>
      </c>
      <c r="O413" s="25">
        <v>0</v>
      </c>
      <c r="P413" s="25">
        <v>0</v>
      </c>
      <c r="Q413" s="25">
        <v>4</v>
      </c>
      <c r="R413" s="25">
        <v>0</v>
      </c>
      <c r="S413" s="25">
        <v>0</v>
      </c>
      <c r="T413" s="25">
        <v>0</v>
      </c>
      <c r="U413" s="61">
        <v>0</v>
      </c>
      <c r="V413" s="58">
        <v>0</v>
      </c>
      <c r="W413" s="12" t="s">
        <v>3926</v>
      </c>
      <c r="X413" s="33">
        <v>0</v>
      </c>
      <c r="Y413" s="12" t="s">
        <v>3926</v>
      </c>
      <c r="Z413" s="12" t="s">
        <v>3926</v>
      </c>
      <c r="AA413" s="12" t="s">
        <v>3926</v>
      </c>
      <c r="AB413" s="25">
        <v>472</v>
      </c>
      <c r="AC413" s="25">
        <v>0</v>
      </c>
      <c r="AD413" s="25">
        <v>472</v>
      </c>
      <c r="AE413" s="25">
        <v>0</v>
      </c>
      <c r="AF413" s="25">
        <v>0</v>
      </c>
      <c r="AG413" s="25">
        <v>0</v>
      </c>
      <c r="AH413" s="25">
        <v>0</v>
      </c>
      <c r="AI413" s="12">
        <v>1.08</v>
      </c>
      <c r="AJ413" s="25">
        <v>185</v>
      </c>
      <c r="AK413" s="25">
        <v>69</v>
      </c>
      <c r="AL413" s="33">
        <v>0.5948</v>
      </c>
      <c r="AM413" s="3" t="s">
        <v>2947</v>
      </c>
      <c r="AN413" s="12" t="s">
        <v>5443</v>
      </c>
      <c r="AO413" s="12"/>
      <c r="AP413" s="12" t="str">
        <f>"1411588962478507"</f>
        <v>1411588962478507</v>
      </c>
      <c r="AQ413" s="12" t="s">
        <v>1553</v>
      </c>
      <c r="AR413" s="12" t="s">
        <v>1548</v>
      </c>
      <c r="AS413" s="12"/>
      <c r="AT413" s="12"/>
      <c r="AU413" s="12" t="s">
        <v>324</v>
      </c>
      <c r="AV413" s="12" t="s">
        <v>5731</v>
      </c>
      <c r="AW413" s="12"/>
      <c r="AX413" s="12">
        <v>122</v>
      </c>
      <c r="AY413" s="12">
        <v>3</v>
      </c>
      <c r="AZ413" s="12">
        <v>122</v>
      </c>
      <c r="BA413" s="12" t="s">
        <v>1554</v>
      </c>
      <c r="BB413" s="12" t="s">
        <v>7190</v>
      </c>
      <c r="BC413" s="12" t="s">
        <v>7191</v>
      </c>
      <c r="BD413" s="12"/>
      <c r="BE413" s="12" t="s">
        <v>2291</v>
      </c>
      <c r="BF413" s="12"/>
      <c r="BG413" s="12"/>
      <c r="BH413" s="12"/>
      <c r="BI413" s="12"/>
      <c r="BJ413" s="12" t="s">
        <v>2948</v>
      </c>
      <c r="BK413" s="12"/>
      <c r="BL413" s="12" t="s">
        <v>2292</v>
      </c>
      <c r="BM413" s="12" t="s">
        <v>2292</v>
      </c>
      <c r="BN413" s="12" t="s">
        <v>2292</v>
      </c>
      <c r="BO413" s="12" t="s">
        <v>2292</v>
      </c>
      <c r="BP413" s="12"/>
      <c r="BQ413" s="12"/>
      <c r="BR413" s="12"/>
      <c r="BS413" s="12"/>
      <c r="BT413" s="12"/>
      <c r="BU413" s="12" t="s">
        <v>326</v>
      </c>
      <c r="BV413" s="12"/>
      <c r="BW413" s="12" t="s">
        <v>1555</v>
      </c>
      <c r="BX413" s="12"/>
      <c r="BY413" s="13" t="s">
        <v>313</v>
      </c>
      <c r="BZ413" s="13" t="s">
        <v>312</v>
      </c>
      <c r="CA413" s="13"/>
      <c r="CB413" s="13"/>
      <c r="CC413" s="13"/>
      <c r="CD413" s="13"/>
      <c r="CE413" s="13"/>
      <c r="CF413" s="13"/>
    </row>
    <row r="414" spans="1:84" ht="18.600000000000001" customHeight="1" x14ac:dyDescent="0.25">
      <c r="A414" s="60" t="s">
        <v>151</v>
      </c>
      <c r="B414" s="12" t="s">
        <v>3496</v>
      </c>
      <c r="C414" s="3" t="s">
        <v>3497</v>
      </c>
      <c r="D414" s="12" t="s">
        <v>3551</v>
      </c>
      <c r="E414" s="12" t="s">
        <v>3550</v>
      </c>
      <c r="F414" s="12" t="s">
        <v>4019</v>
      </c>
      <c r="G414" s="25">
        <v>2792</v>
      </c>
      <c r="H414" s="25">
        <v>2495</v>
      </c>
      <c r="I414" s="25">
        <v>57</v>
      </c>
      <c r="J414" s="25">
        <v>86</v>
      </c>
      <c r="K414" s="25">
        <v>0</v>
      </c>
      <c r="L414" s="25">
        <v>0</v>
      </c>
      <c r="M414" s="25">
        <v>0</v>
      </c>
      <c r="N414" s="31">
        <v>0</v>
      </c>
      <c r="O414" s="25">
        <v>0</v>
      </c>
      <c r="P414" s="25">
        <v>0</v>
      </c>
      <c r="Q414" s="25">
        <v>119</v>
      </c>
      <c r="R414" s="25">
        <v>5</v>
      </c>
      <c r="S414" s="25">
        <v>29</v>
      </c>
      <c r="T414" s="25">
        <v>0</v>
      </c>
      <c r="U414" s="61">
        <v>1</v>
      </c>
      <c r="V414" s="58">
        <v>2.6800000000000001E-2</v>
      </c>
      <c r="W414" s="33">
        <v>2.63E-2</v>
      </c>
      <c r="X414" s="12" t="s">
        <v>3926</v>
      </c>
      <c r="Y414" s="12" t="s">
        <v>3926</v>
      </c>
      <c r="Z414" s="12" t="s">
        <v>3926</v>
      </c>
      <c r="AA414" s="12" t="s">
        <v>3926</v>
      </c>
      <c r="AB414" s="25">
        <v>116</v>
      </c>
      <c r="AC414" s="25">
        <v>116</v>
      </c>
      <c r="AD414" s="25">
        <v>0</v>
      </c>
      <c r="AE414" s="25">
        <v>0</v>
      </c>
      <c r="AF414" s="25">
        <v>0</v>
      </c>
      <c r="AG414" s="25">
        <v>0</v>
      </c>
      <c r="AH414" s="25">
        <v>0</v>
      </c>
      <c r="AI414" s="12">
        <v>0.26</v>
      </c>
      <c r="AJ414" s="25">
        <v>1005</v>
      </c>
      <c r="AK414" s="25">
        <v>188</v>
      </c>
      <c r="AL414" s="33">
        <v>0.2301</v>
      </c>
      <c r="AM414" s="3" t="s">
        <v>3497</v>
      </c>
      <c r="AN414" s="12" t="s">
        <v>3550</v>
      </c>
      <c r="AO414" s="12" t="s">
        <v>3550</v>
      </c>
      <c r="AP414" s="12" t="str">
        <f>"618821491465361"</f>
        <v>618821491465361</v>
      </c>
      <c r="AQ414" s="12" t="s">
        <v>3551</v>
      </c>
      <c r="AR414" s="12" t="s">
        <v>1548</v>
      </c>
      <c r="AS414" s="12" t="s">
        <v>3552</v>
      </c>
      <c r="AT414" s="12"/>
      <c r="AU414" s="12" t="s">
        <v>309</v>
      </c>
      <c r="AV414" s="12"/>
      <c r="AW414" s="12"/>
      <c r="AX414" s="12">
        <v>0</v>
      </c>
      <c r="AY414" s="12">
        <v>42</v>
      </c>
      <c r="AZ414" s="12">
        <v>0</v>
      </c>
      <c r="BA414" s="12" t="s">
        <v>3553</v>
      </c>
      <c r="BB414" s="12"/>
      <c r="BC414" s="12" t="s">
        <v>6476</v>
      </c>
      <c r="BD414" s="12"/>
      <c r="BE414" s="12" t="s">
        <v>2291</v>
      </c>
      <c r="BF414" s="12"/>
      <c r="BG414" s="12"/>
      <c r="BH414" s="12"/>
      <c r="BI414" s="12"/>
      <c r="BJ414" s="12"/>
      <c r="BK414" s="12"/>
      <c r="BL414" s="12" t="s">
        <v>2292</v>
      </c>
      <c r="BM414" s="12" t="s">
        <v>2292</v>
      </c>
      <c r="BN414" s="12" t="s">
        <v>2292</v>
      </c>
      <c r="BO414" s="12" t="s">
        <v>2292</v>
      </c>
      <c r="BP414" s="12"/>
      <c r="BQ414" s="12"/>
      <c r="BR414" s="12"/>
      <c r="BS414" s="12"/>
      <c r="BT414" s="12"/>
      <c r="BU414" s="12"/>
      <c r="BV414" s="12"/>
      <c r="BW414" s="12"/>
      <c r="BX414" s="12"/>
      <c r="BY414" s="13" t="s">
        <v>313</v>
      </c>
      <c r="BZ414" s="13" t="s">
        <v>6170</v>
      </c>
      <c r="CA414" s="13" t="s">
        <v>6170</v>
      </c>
      <c r="CB414" s="13" t="s">
        <v>6197</v>
      </c>
      <c r="CC414" s="1"/>
      <c r="CD414" s="13" t="s">
        <v>6198</v>
      </c>
      <c r="CE414" s="13"/>
      <c r="CF414" s="13"/>
    </row>
    <row r="415" spans="1:84" ht="18.600000000000001" customHeight="1" x14ac:dyDescent="0.25">
      <c r="A415" s="60" t="s">
        <v>152</v>
      </c>
      <c r="B415" s="2" t="s">
        <v>1561</v>
      </c>
      <c r="C415" s="3" t="s">
        <v>2415</v>
      </c>
      <c r="D415" s="12" t="s">
        <v>1556</v>
      </c>
      <c r="E415" s="12" t="s">
        <v>1557</v>
      </c>
      <c r="F415" s="12" t="s">
        <v>4001</v>
      </c>
      <c r="G415" s="25">
        <v>1010996</v>
      </c>
      <c r="H415" s="25">
        <v>898767</v>
      </c>
      <c r="I415" s="25">
        <v>16395</v>
      </c>
      <c r="J415" s="25">
        <v>41704</v>
      </c>
      <c r="K415" s="25">
        <v>943094</v>
      </c>
      <c r="L415" s="25">
        <v>1031923</v>
      </c>
      <c r="M415" s="25">
        <v>1975017</v>
      </c>
      <c r="N415" s="31">
        <v>0.48</v>
      </c>
      <c r="O415" s="25">
        <v>0</v>
      </c>
      <c r="P415" s="25">
        <v>0</v>
      </c>
      <c r="Q415" s="25">
        <v>45381</v>
      </c>
      <c r="R415" s="25">
        <v>3713</v>
      </c>
      <c r="S415" s="25">
        <v>4067</v>
      </c>
      <c r="T415" s="25">
        <v>593</v>
      </c>
      <c r="U415" s="61">
        <v>371</v>
      </c>
      <c r="V415" s="58">
        <v>1.8700000000000001E-2</v>
      </c>
      <c r="W415" s="33">
        <v>1.7899999999999999E-2</v>
      </c>
      <c r="X415" s="12" t="s">
        <v>3926</v>
      </c>
      <c r="Y415" s="12" t="s">
        <v>3926</v>
      </c>
      <c r="Z415" s="33">
        <v>2.8400000000000002E-2</v>
      </c>
      <c r="AA415" s="12" t="s">
        <v>3926</v>
      </c>
      <c r="AB415" s="25">
        <v>147</v>
      </c>
      <c r="AC415" s="25">
        <v>135</v>
      </c>
      <c r="AD415" s="25">
        <v>0</v>
      </c>
      <c r="AE415" s="25">
        <v>0</v>
      </c>
      <c r="AF415" s="25">
        <v>12</v>
      </c>
      <c r="AG415" s="25">
        <v>0</v>
      </c>
      <c r="AH415" s="25">
        <v>0</v>
      </c>
      <c r="AI415" s="12">
        <v>0.33</v>
      </c>
      <c r="AJ415" s="25">
        <v>374424</v>
      </c>
      <c r="AK415" s="25">
        <v>14255</v>
      </c>
      <c r="AL415" s="33">
        <v>3.9600000000000003E-2</v>
      </c>
      <c r="AM415" s="3" t="s">
        <v>2415</v>
      </c>
      <c r="AN415" s="12" t="s">
        <v>1557</v>
      </c>
      <c r="AO415" s="12" t="s">
        <v>1557</v>
      </c>
      <c r="AP415" s="12" t="str">
        <f>"278767150576"</f>
        <v>278767150576</v>
      </c>
      <c r="AQ415" s="12" t="s">
        <v>1556</v>
      </c>
      <c r="AR415" s="12" t="s">
        <v>1558</v>
      </c>
      <c r="AS415" s="12" t="s">
        <v>1559</v>
      </c>
      <c r="AT415" s="12"/>
      <c r="AU415" s="12" t="s">
        <v>309</v>
      </c>
      <c r="AV415" s="12"/>
      <c r="AW415" s="12"/>
      <c r="AX415" s="12">
        <v>0</v>
      </c>
      <c r="AY415" s="12">
        <v>13020</v>
      </c>
      <c r="AZ415" s="12">
        <v>0</v>
      </c>
      <c r="BA415" s="12" t="s">
        <v>1560</v>
      </c>
      <c r="BB415" s="12"/>
      <c r="BC415" s="12" t="s">
        <v>6435</v>
      </c>
      <c r="BD415" s="12"/>
      <c r="BE415" s="12" t="s">
        <v>2291</v>
      </c>
      <c r="BF415" s="12"/>
      <c r="BG415" s="12"/>
      <c r="BH415" s="12"/>
      <c r="BI415" s="12"/>
      <c r="BJ415" s="12"/>
      <c r="BK415" s="12"/>
      <c r="BL415" s="12" t="s">
        <v>2292</v>
      </c>
      <c r="BM415" s="12" t="s">
        <v>2292</v>
      </c>
      <c r="BN415" s="12" t="s">
        <v>2292</v>
      </c>
      <c r="BO415" s="12" t="s">
        <v>2291</v>
      </c>
      <c r="BP415" s="12"/>
      <c r="BQ415" s="12"/>
      <c r="BR415" s="12"/>
      <c r="BS415" s="12"/>
      <c r="BT415" s="12"/>
      <c r="BU415" s="12"/>
      <c r="BV415" s="12"/>
      <c r="BW415" s="12"/>
      <c r="BX415" s="12"/>
      <c r="BY415" s="13" t="s">
        <v>313</v>
      </c>
      <c r="BZ415" s="13" t="s">
        <v>6174</v>
      </c>
      <c r="CA415" s="13"/>
      <c r="CB415" s="13"/>
      <c r="CC415" s="13"/>
      <c r="CD415" s="13"/>
      <c r="CE415" s="13"/>
      <c r="CF415" s="13"/>
    </row>
    <row r="416" spans="1:84" ht="18.600000000000001" customHeight="1" x14ac:dyDescent="0.25">
      <c r="A416" s="60" t="s">
        <v>152</v>
      </c>
      <c r="B416" s="2" t="s">
        <v>3852</v>
      </c>
      <c r="C416" s="3" t="s">
        <v>3851</v>
      </c>
      <c r="D416" s="12" t="s">
        <v>4491</v>
      </c>
      <c r="E416" s="12"/>
      <c r="F416" s="12" t="s">
        <v>4492</v>
      </c>
      <c r="G416" s="25">
        <v>94058</v>
      </c>
      <c r="H416" s="25">
        <v>80808</v>
      </c>
      <c r="I416" s="25">
        <v>5608</v>
      </c>
      <c r="J416" s="25">
        <v>2889</v>
      </c>
      <c r="K416" s="25">
        <v>46107</v>
      </c>
      <c r="L416" s="25">
        <v>22370</v>
      </c>
      <c r="M416" s="25">
        <v>68477</v>
      </c>
      <c r="N416" s="31">
        <v>0.67</v>
      </c>
      <c r="O416" s="25">
        <v>0</v>
      </c>
      <c r="P416" s="25">
        <v>0</v>
      </c>
      <c r="Q416" s="25">
        <v>1023</v>
      </c>
      <c r="R416" s="25">
        <v>547</v>
      </c>
      <c r="S416" s="25">
        <v>2371</v>
      </c>
      <c r="T416" s="25">
        <v>407</v>
      </c>
      <c r="U416" s="61">
        <v>405</v>
      </c>
      <c r="V416" s="58">
        <v>2.63E-2</v>
      </c>
      <c r="W416" s="33">
        <v>2.8000000000000001E-2</v>
      </c>
      <c r="X416" s="33">
        <v>1.78E-2</v>
      </c>
      <c r="Y416" s="33">
        <v>3.5499999999999997E-2</v>
      </c>
      <c r="Z416" s="33">
        <v>3.2399999999999998E-2</v>
      </c>
      <c r="AA416" s="12" t="s">
        <v>3926</v>
      </c>
      <c r="AB416" s="25">
        <v>191</v>
      </c>
      <c r="AC416" s="25">
        <v>139</v>
      </c>
      <c r="AD416" s="25">
        <v>2</v>
      </c>
      <c r="AE416" s="25">
        <v>45</v>
      </c>
      <c r="AF416" s="25">
        <v>5</v>
      </c>
      <c r="AG416" s="25">
        <v>0</v>
      </c>
      <c r="AH416" s="25">
        <v>0</v>
      </c>
      <c r="AI416" s="12">
        <v>0.44</v>
      </c>
      <c r="AJ416" s="25">
        <v>20633</v>
      </c>
      <c r="AK416" s="25">
        <v>8463</v>
      </c>
      <c r="AL416" s="33">
        <v>0.69540000000000002</v>
      </c>
      <c r="AM416" s="3" t="s">
        <v>3851</v>
      </c>
      <c r="AN416" s="12" t="s">
        <v>5452</v>
      </c>
      <c r="AO416" s="12"/>
      <c r="AP416" s="12" t="str">
        <f>"814777171988967"</f>
        <v>814777171988967</v>
      </c>
      <c r="AQ416" s="12" t="s">
        <v>4491</v>
      </c>
      <c r="AR416" s="12"/>
      <c r="AS416" s="12"/>
      <c r="AT416" s="12"/>
      <c r="AU416" s="12" t="s">
        <v>309</v>
      </c>
      <c r="AV416" s="12"/>
      <c r="AW416" s="12"/>
      <c r="AX416" s="12">
        <v>0</v>
      </c>
      <c r="AY416" s="12">
        <v>1847</v>
      </c>
      <c r="AZ416" s="12">
        <v>0</v>
      </c>
      <c r="BA416" s="12" t="s">
        <v>4630</v>
      </c>
      <c r="BB416" s="12"/>
      <c r="BC416" s="12" t="s">
        <v>7216</v>
      </c>
      <c r="BD416" s="12"/>
      <c r="BE416" s="12" t="s">
        <v>2291</v>
      </c>
      <c r="BF416" s="12"/>
      <c r="BG416" s="12"/>
      <c r="BH416" s="12"/>
      <c r="BI416" s="12"/>
      <c r="BJ416" s="12"/>
      <c r="BK416" s="12"/>
      <c r="BL416" s="12" t="s">
        <v>2292</v>
      </c>
      <c r="BM416" s="12" t="s">
        <v>2292</v>
      </c>
      <c r="BN416" s="12" t="s">
        <v>2292</v>
      </c>
      <c r="BO416" s="12" t="s">
        <v>2292</v>
      </c>
      <c r="BP416" s="12"/>
      <c r="BQ416" s="12"/>
      <c r="BR416" s="12"/>
      <c r="BS416" s="12"/>
      <c r="BT416" s="12"/>
      <c r="BU416" s="12"/>
      <c r="BV416" s="12"/>
      <c r="BW416" s="12"/>
      <c r="BX416" s="12"/>
      <c r="BY416" s="13" t="s">
        <v>313</v>
      </c>
      <c r="BZ416" s="13" t="s">
        <v>6170</v>
      </c>
      <c r="CA416" s="13" t="s">
        <v>6170</v>
      </c>
      <c r="CB416" s="13" t="s">
        <v>312</v>
      </c>
      <c r="CC416" s="13"/>
      <c r="CD416" s="13" t="s">
        <v>6198</v>
      </c>
      <c r="CE416" s="13"/>
      <c r="CF416" s="13"/>
    </row>
    <row r="417" spans="1:84" ht="18.600000000000001" customHeight="1" x14ac:dyDescent="0.25">
      <c r="A417" s="60" t="s">
        <v>152</v>
      </c>
      <c r="B417" s="2" t="s">
        <v>315</v>
      </c>
      <c r="C417" s="3" t="s">
        <v>3126</v>
      </c>
      <c r="D417" s="12" t="s">
        <v>1562</v>
      </c>
      <c r="E417" s="12"/>
      <c r="F417" s="12" t="s">
        <v>4486</v>
      </c>
      <c r="G417" s="25">
        <v>0</v>
      </c>
      <c r="H417" s="25">
        <v>0</v>
      </c>
      <c r="I417" s="25">
        <v>0</v>
      </c>
      <c r="J417" s="25">
        <v>0</v>
      </c>
      <c r="K417" s="25">
        <v>0</v>
      </c>
      <c r="L417" s="25">
        <v>0</v>
      </c>
      <c r="M417" s="25">
        <v>0</v>
      </c>
      <c r="N417" s="31">
        <v>0</v>
      </c>
      <c r="O417" s="25">
        <v>0</v>
      </c>
      <c r="P417" s="25">
        <v>0</v>
      </c>
      <c r="Q417" s="25">
        <v>0</v>
      </c>
      <c r="R417" s="25">
        <v>0</v>
      </c>
      <c r="S417" s="25">
        <v>0</v>
      </c>
      <c r="T417" s="25">
        <v>0</v>
      </c>
      <c r="U417" s="61">
        <v>0</v>
      </c>
      <c r="V417" s="59"/>
      <c r="W417" s="12" t="s">
        <v>3926</v>
      </c>
      <c r="X417" s="12" t="s">
        <v>3926</v>
      </c>
      <c r="Y417" s="12" t="s">
        <v>3926</v>
      </c>
      <c r="Z417" s="12" t="s">
        <v>3926</v>
      </c>
      <c r="AA417" s="12" t="s">
        <v>3926</v>
      </c>
      <c r="AB417" s="25" t="s">
        <v>3927</v>
      </c>
      <c r="AC417" s="25">
        <v>0</v>
      </c>
      <c r="AD417" s="25">
        <v>0</v>
      </c>
      <c r="AE417" s="25">
        <v>0</v>
      </c>
      <c r="AF417" s="25">
        <v>0</v>
      </c>
      <c r="AG417" s="25">
        <v>0</v>
      </c>
      <c r="AH417" s="25">
        <v>0</v>
      </c>
      <c r="AI417" s="12">
        <v>0</v>
      </c>
      <c r="AJ417" s="25">
        <v>61</v>
      </c>
      <c r="AK417" s="25">
        <v>31</v>
      </c>
      <c r="AL417" s="33">
        <v>1.0333000000000001</v>
      </c>
      <c r="AM417" s="3" t="s">
        <v>3126</v>
      </c>
      <c r="AN417" s="12" t="s">
        <v>5354</v>
      </c>
      <c r="AO417" s="12"/>
      <c r="AP417" s="12" t="str">
        <f>"77276644149"</f>
        <v>77276644149</v>
      </c>
      <c r="AQ417" s="12" t="s">
        <v>1562</v>
      </c>
      <c r="AR417" s="12" t="s">
        <v>3107</v>
      </c>
      <c r="AS417" s="12"/>
      <c r="AT417" s="12"/>
      <c r="AU417" s="12" t="s">
        <v>324</v>
      </c>
      <c r="AV417" s="12"/>
      <c r="AW417" s="12"/>
      <c r="AX417" s="12">
        <v>0</v>
      </c>
      <c r="AY417" s="12">
        <v>0</v>
      </c>
      <c r="AZ417" s="12">
        <v>0</v>
      </c>
      <c r="BA417" s="12" t="s">
        <v>1563</v>
      </c>
      <c r="BB417" s="12"/>
      <c r="BC417" s="12"/>
      <c r="BD417" s="12"/>
      <c r="BE417" s="12" t="s">
        <v>2291</v>
      </c>
      <c r="BF417" s="12"/>
      <c r="BG417" s="12"/>
      <c r="BH417" s="12"/>
      <c r="BI417" s="12"/>
      <c r="BJ417" s="12"/>
      <c r="BK417" s="12"/>
      <c r="BL417" s="12" t="s">
        <v>2292</v>
      </c>
      <c r="BM417" s="12" t="s">
        <v>2292</v>
      </c>
      <c r="BN417" s="12" t="s">
        <v>2292</v>
      </c>
      <c r="BO417" s="12" t="s">
        <v>2292</v>
      </c>
      <c r="BP417" s="12"/>
      <c r="BQ417" s="12"/>
      <c r="BR417" s="12"/>
      <c r="BS417" s="12"/>
      <c r="BT417" s="12" t="s">
        <v>1564</v>
      </c>
      <c r="BU417" s="12"/>
      <c r="BV417" s="12"/>
      <c r="BW417" s="12"/>
      <c r="BX417" s="12"/>
      <c r="BY417" s="14" t="s">
        <v>1565</v>
      </c>
      <c r="BZ417" s="13" t="s">
        <v>6170</v>
      </c>
      <c r="CA417" s="13" t="s">
        <v>6170</v>
      </c>
      <c r="CB417" s="13" t="s">
        <v>312</v>
      </c>
      <c r="CC417" s="13"/>
      <c r="CD417" s="13" t="s">
        <v>6198</v>
      </c>
      <c r="CE417" s="13" t="s">
        <v>6184</v>
      </c>
      <c r="CF417" s="13"/>
    </row>
    <row r="418" spans="1:84" ht="18.600000000000001" customHeight="1" x14ac:dyDescent="0.25">
      <c r="A418" s="60" t="s">
        <v>152</v>
      </c>
      <c r="B418" s="2" t="s">
        <v>335</v>
      </c>
      <c r="C418" s="3" t="s">
        <v>6183</v>
      </c>
      <c r="D418" s="12" t="s">
        <v>1566</v>
      </c>
      <c r="E418" s="12" t="s">
        <v>7351</v>
      </c>
      <c r="F418" s="12" t="s">
        <v>4403</v>
      </c>
      <c r="G418" s="25">
        <v>74430</v>
      </c>
      <c r="H418" s="25">
        <v>55629</v>
      </c>
      <c r="I418" s="25">
        <v>984</v>
      </c>
      <c r="J418" s="25">
        <v>14566</v>
      </c>
      <c r="K418" s="25">
        <v>218679</v>
      </c>
      <c r="L418" s="25">
        <v>430629</v>
      </c>
      <c r="M418" s="25">
        <v>649308</v>
      </c>
      <c r="N418" s="31">
        <v>0.34</v>
      </c>
      <c r="O418" s="25">
        <v>89906</v>
      </c>
      <c r="P418" s="25">
        <v>5217</v>
      </c>
      <c r="Q418" s="25">
        <v>2304</v>
      </c>
      <c r="R418" s="25">
        <v>551</v>
      </c>
      <c r="S418" s="25">
        <v>78</v>
      </c>
      <c r="T418" s="25">
        <v>208</v>
      </c>
      <c r="U418" s="61">
        <v>110</v>
      </c>
      <c r="V418" s="58">
        <v>6.1000000000000004E-3</v>
      </c>
      <c r="W418" s="33">
        <v>5.1999999999999998E-3</v>
      </c>
      <c r="X418" s="33">
        <v>4.1999999999999997E-3</v>
      </c>
      <c r="Y418" s="33">
        <v>1.1999999999999999E-3</v>
      </c>
      <c r="Z418" s="33">
        <v>1.67E-2</v>
      </c>
      <c r="AA418" s="33">
        <v>1.4E-3</v>
      </c>
      <c r="AB418" s="25">
        <v>1201</v>
      </c>
      <c r="AC418" s="25">
        <v>603</v>
      </c>
      <c r="AD418" s="25">
        <v>350</v>
      </c>
      <c r="AE418" s="25">
        <v>6</v>
      </c>
      <c r="AF418" s="25">
        <v>120</v>
      </c>
      <c r="AG418" s="25">
        <v>112</v>
      </c>
      <c r="AH418" s="25">
        <v>10</v>
      </c>
      <c r="AI418" s="12">
        <v>2.74</v>
      </c>
      <c r="AJ418" s="25">
        <v>12899</v>
      </c>
      <c r="AK418" s="25">
        <v>5313</v>
      </c>
      <c r="AL418" s="33">
        <v>0.70040000000000002</v>
      </c>
      <c r="AM418" s="3" t="s">
        <v>6183</v>
      </c>
      <c r="AN418" s="12" t="s">
        <v>7351</v>
      </c>
      <c r="AO418" s="12" t="s">
        <v>7351</v>
      </c>
      <c r="AP418" s="12" t="str">
        <f>"429195173763802"</f>
        <v>429195173763802</v>
      </c>
      <c r="AQ418" s="12" t="s">
        <v>1566</v>
      </c>
      <c r="AR418" s="12" t="s">
        <v>6115</v>
      </c>
      <c r="AS418" s="12" t="s">
        <v>6116</v>
      </c>
      <c r="AT418" s="12"/>
      <c r="AU418" s="12" t="s">
        <v>324</v>
      </c>
      <c r="AV418" s="12" t="s">
        <v>5731</v>
      </c>
      <c r="AW418" s="12"/>
      <c r="AX418" s="12">
        <v>1364</v>
      </c>
      <c r="AY418" s="12">
        <v>1422</v>
      </c>
      <c r="AZ418" s="12">
        <v>1364</v>
      </c>
      <c r="BA418" s="12" t="s">
        <v>7352</v>
      </c>
      <c r="BB418" s="12" t="s">
        <v>7353</v>
      </c>
      <c r="BC418" s="12" t="s">
        <v>7354</v>
      </c>
      <c r="BD418" s="12"/>
      <c r="BE418" s="12" t="s">
        <v>2291</v>
      </c>
      <c r="BF418" s="12"/>
      <c r="BG418" s="12"/>
      <c r="BH418" s="12"/>
      <c r="BI418" s="12" t="s">
        <v>6117</v>
      </c>
      <c r="BJ418" s="12" t="s">
        <v>6118</v>
      </c>
      <c r="BK418" s="12" t="s">
        <v>7355</v>
      </c>
      <c r="BL418" s="12" t="s">
        <v>2292</v>
      </c>
      <c r="BM418" s="12" t="s">
        <v>2292</v>
      </c>
      <c r="BN418" s="12" t="s">
        <v>2292</v>
      </c>
      <c r="BO418" s="12" t="s">
        <v>2292</v>
      </c>
      <c r="BP418" s="12"/>
      <c r="BQ418" s="12"/>
      <c r="BR418" s="12"/>
      <c r="BS418" s="12"/>
      <c r="BT418" s="12" t="s">
        <v>6119</v>
      </c>
      <c r="BU418" s="12" t="s">
        <v>326</v>
      </c>
      <c r="BV418" s="12"/>
      <c r="BW418" s="12" t="s">
        <v>6120</v>
      </c>
      <c r="BX418" s="12"/>
      <c r="BY418" s="13" t="s">
        <v>313</v>
      </c>
      <c r="BZ418" s="13" t="s">
        <v>6168</v>
      </c>
      <c r="CA418" s="13" t="s">
        <v>6170</v>
      </c>
      <c r="CB418" s="13" t="s">
        <v>6201</v>
      </c>
      <c r="CC418" s="13"/>
      <c r="CD418" s="13" t="s">
        <v>6204</v>
      </c>
      <c r="CE418" s="13"/>
      <c r="CF418" s="13"/>
    </row>
    <row r="419" spans="1:84" ht="18.600000000000001" customHeight="1" x14ac:dyDescent="0.25">
      <c r="A419" s="60" t="s">
        <v>153</v>
      </c>
      <c r="B419" s="2" t="s">
        <v>802</v>
      </c>
      <c r="C419" s="3" t="s">
        <v>2408</v>
      </c>
      <c r="D419" s="12" t="s">
        <v>1567</v>
      </c>
      <c r="E419" s="12" t="s">
        <v>1568</v>
      </c>
      <c r="F419" s="12" t="s">
        <v>3998</v>
      </c>
      <c r="G419" s="25">
        <v>11804</v>
      </c>
      <c r="H419" s="25">
        <v>8853</v>
      </c>
      <c r="I419" s="25">
        <v>364</v>
      </c>
      <c r="J419" s="25">
        <v>1585</v>
      </c>
      <c r="K419" s="25">
        <v>0</v>
      </c>
      <c r="L419" s="25">
        <v>0</v>
      </c>
      <c r="M419" s="25">
        <v>0</v>
      </c>
      <c r="N419" s="31">
        <v>0</v>
      </c>
      <c r="O419" s="25">
        <v>0</v>
      </c>
      <c r="P419" s="25">
        <v>0</v>
      </c>
      <c r="Q419" s="25">
        <v>943</v>
      </c>
      <c r="R419" s="25">
        <v>44</v>
      </c>
      <c r="S419" s="25">
        <v>10</v>
      </c>
      <c r="T419" s="25">
        <v>3</v>
      </c>
      <c r="U419" s="61">
        <v>2</v>
      </c>
      <c r="V419" s="58">
        <v>2.53E-2</v>
      </c>
      <c r="W419" s="33">
        <v>3.0499999999999999E-2</v>
      </c>
      <c r="X419" s="33">
        <v>1.6299999999999999E-2</v>
      </c>
      <c r="Y419" s="33">
        <v>1.15E-2</v>
      </c>
      <c r="Z419" s="12" t="s">
        <v>3926</v>
      </c>
      <c r="AA419" s="33">
        <v>3.8999999999999998E-3</v>
      </c>
      <c r="AB419" s="25">
        <v>54</v>
      </c>
      <c r="AC419" s="25">
        <v>33</v>
      </c>
      <c r="AD419" s="25">
        <v>17</v>
      </c>
      <c r="AE419" s="25">
        <v>3</v>
      </c>
      <c r="AF419" s="25">
        <v>0</v>
      </c>
      <c r="AG419" s="25">
        <v>0</v>
      </c>
      <c r="AH419" s="25">
        <v>1</v>
      </c>
      <c r="AI419" s="12">
        <v>0.12</v>
      </c>
      <c r="AJ419" s="25">
        <v>9559</v>
      </c>
      <c r="AK419" s="25">
        <v>1480</v>
      </c>
      <c r="AL419" s="33">
        <v>0.1832</v>
      </c>
      <c r="AM419" s="3" t="s">
        <v>2408</v>
      </c>
      <c r="AN419" s="12" t="s">
        <v>1568</v>
      </c>
      <c r="AO419" s="12" t="s">
        <v>1568</v>
      </c>
      <c r="AP419" s="12" t="str">
        <f>"132159696835960"</f>
        <v>132159696835960</v>
      </c>
      <c r="AQ419" s="12" t="s">
        <v>1567</v>
      </c>
      <c r="AR419" s="12" t="s">
        <v>1569</v>
      </c>
      <c r="AS419" s="12" t="s">
        <v>1570</v>
      </c>
      <c r="AT419" s="12"/>
      <c r="AU419" s="12" t="s">
        <v>319</v>
      </c>
      <c r="AV419" s="12"/>
      <c r="AW419" s="12"/>
      <c r="AX419" s="12">
        <v>0</v>
      </c>
      <c r="AY419" s="12">
        <v>456</v>
      </c>
      <c r="AZ419" s="12">
        <v>0</v>
      </c>
      <c r="BA419" s="12" t="s">
        <v>1571</v>
      </c>
      <c r="BB419" s="12" t="s">
        <v>5778</v>
      </c>
      <c r="BC419" s="12" t="s">
        <v>6430</v>
      </c>
      <c r="BD419" s="12" t="s">
        <v>1572</v>
      </c>
      <c r="BE419" s="12" t="s">
        <v>2291</v>
      </c>
      <c r="BF419" s="12"/>
      <c r="BG419" s="12"/>
      <c r="BH419" s="12"/>
      <c r="BI419" s="12"/>
      <c r="BJ419" s="12"/>
      <c r="BK419" s="12"/>
      <c r="BL419" s="12" t="s">
        <v>2292</v>
      </c>
      <c r="BM419" s="12" t="s">
        <v>2292</v>
      </c>
      <c r="BN419" s="12" t="s">
        <v>2292</v>
      </c>
      <c r="BO419" s="12" t="s">
        <v>2292</v>
      </c>
      <c r="BP419" s="12"/>
      <c r="BQ419" s="12"/>
      <c r="BR419" s="12" t="s">
        <v>2409</v>
      </c>
      <c r="BS419" s="12"/>
      <c r="BT419" s="12"/>
      <c r="BU419" s="12"/>
      <c r="BV419" s="12"/>
      <c r="BW419" s="12" t="s">
        <v>1573</v>
      </c>
      <c r="BX419" s="12"/>
      <c r="BY419" s="13" t="s">
        <v>313</v>
      </c>
      <c r="BZ419" s="13" t="s">
        <v>312</v>
      </c>
      <c r="CA419" s="13"/>
      <c r="CB419" s="13"/>
      <c r="CC419" s="13"/>
      <c r="CD419" s="13"/>
      <c r="CE419" s="13"/>
      <c r="CF419" s="13"/>
    </row>
    <row r="420" spans="1:84" ht="18.600000000000001" customHeight="1" x14ac:dyDescent="0.25">
      <c r="A420" s="60" t="s">
        <v>153</v>
      </c>
      <c r="B420" s="2" t="s">
        <v>3155</v>
      </c>
      <c r="C420" s="3" t="s">
        <v>3102</v>
      </c>
      <c r="D420" s="12" t="s">
        <v>1574</v>
      </c>
      <c r="E420" s="12"/>
      <c r="F420" s="12" t="s">
        <v>4484</v>
      </c>
      <c r="G420" s="25">
        <v>78847</v>
      </c>
      <c r="H420" s="25">
        <v>66293</v>
      </c>
      <c r="I420" s="25">
        <v>3365</v>
      </c>
      <c r="J420" s="25">
        <v>3802</v>
      </c>
      <c r="K420" s="25">
        <v>205999</v>
      </c>
      <c r="L420" s="25">
        <v>58125</v>
      </c>
      <c r="M420" s="25">
        <v>264124</v>
      </c>
      <c r="N420" s="31">
        <v>0.78</v>
      </c>
      <c r="O420" s="25">
        <v>15659</v>
      </c>
      <c r="P420" s="25">
        <v>99485</v>
      </c>
      <c r="Q420" s="25">
        <v>4071</v>
      </c>
      <c r="R420" s="25">
        <v>357</v>
      </c>
      <c r="S420" s="25">
        <v>344</v>
      </c>
      <c r="T420" s="25">
        <v>523</v>
      </c>
      <c r="U420" s="61">
        <v>83</v>
      </c>
      <c r="V420" s="58">
        <v>8.3000000000000001E-3</v>
      </c>
      <c r="W420" s="33">
        <v>7.9000000000000008E-3</v>
      </c>
      <c r="X420" s="33">
        <v>5.4000000000000003E-3</v>
      </c>
      <c r="Y420" s="33">
        <v>1.1299999999999999E-2</v>
      </c>
      <c r="Z420" s="33">
        <v>1.1599999999999999E-2</v>
      </c>
      <c r="AA420" s="33">
        <v>3.8E-3</v>
      </c>
      <c r="AB420" s="25">
        <v>249</v>
      </c>
      <c r="AC420" s="25">
        <v>179</v>
      </c>
      <c r="AD420" s="25">
        <v>13</v>
      </c>
      <c r="AE420" s="25">
        <v>18</v>
      </c>
      <c r="AF420" s="25">
        <v>34</v>
      </c>
      <c r="AG420" s="25">
        <v>4</v>
      </c>
      <c r="AH420" s="25">
        <v>1</v>
      </c>
      <c r="AI420" s="12">
        <v>0.56999999999999995</v>
      </c>
      <c r="AJ420" s="25">
        <v>40086</v>
      </c>
      <c r="AK420" s="25">
        <v>5521</v>
      </c>
      <c r="AL420" s="33">
        <v>0.15970000000000001</v>
      </c>
      <c r="AM420" s="3" t="s">
        <v>3102</v>
      </c>
      <c r="AN420" s="12" t="s">
        <v>5497</v>
      </c>
      <c r="AO420" s="12"/>
      <c r="AP420" s="12" t="str">
        <f>"76714151717"</f>
        <v>76714151717</v>
      </c>
      <c r="AQ420" s="12" t="s">
        <v>1574</v>
      </c>
      <c r="AR420" s="12"/>
      <c r="AS420" s="12"/>
      <c r="AT420" s="12" t="s">
        <v>3103</v>
      </c>
      <c r="AU420" s="12" t="s">
        <v>309</v>
      </c>
      <c r="AV420" s="12"/>
      <c r="AW420" s="12"/>
      <c r="AX420" s="12">
        <v>0</v>
      </c>
      <c r="AY420" s="12">
        <v>1031</v>
      </c>
      <c r="AZ420" s="12">
        <v>0</v>
      </c>
      <c r="BA420" s="12" t="s">
        <v>1575</v>
      </c>
      <c r="BB420" s="12"/>
      <c r="BC420" s="12" t="s">
        <v>7406</v>
      </c>
      <c r="BD420" s="12"/>
      <c r="BE420" s="12" t="s">
        <v>2291</v>
      </c>
      <c r="BF420" s="12"/>
      <c r="BG420" s="12"/>
      <c r="BH420" s="12"/>
      <c r="BI420" s="12"/>
      <c r="BJ420" s="12"/>
      <c r="BK420" s="12"/>
      <c r="BL420" s="12" t="s">
        <v>2292</v>
      </c>
      <c r="BM420" s="12" t="s">
        <v>2292</v>
      </c>
      <c r="BN420" s="12" t="s">
        <v>2292</v>
      </c>
      <c r="BO420" s="12" t="s">
        <v>2291</v>
      </c>
      <c r="BP420" s="12"/>
      <c r="BQ420" s="12"/>
      <c r="BR420" s="12"/>
      <c r="BS420" s="12"/>
      <c r="BT420" s="12"/>
      <c r="BU420" s="12"/>
      <c r="BV420" s="12"/>
      <c r="BW420" s="12"/>
      <c r="BX420" s="12"/>
      <c r="BY420" s="13" t="s">
        <v>313</v>
      </c>
      <c r="BZ420" s="13" t="s">
        <v>312</v>
      </c>
      <c r="CA420" s="13"/>
      <c r="CB420" s="13"/>
      <c r="CC420" s="13"/>
      <c r="CD420" s="13"/>
      <c r="CE420" s="13"/>
      <c r="CF420" s="13"/>
    </row>
    <row r="421" spans="1:84" ht="18.600000000000001" customHeight="1" x14ac:dyDescent="0.25">
      <c r="A421" s="60" t="s">
        <v>153</v>
      </c>
      <c r="B421" s="2" t="s">
        <v>315</v>
      </c>
      <c r="C421" s="3" t="s">
        <v>6090</v>
      </c>
      <c r="D421" s="12" t="s">
        <v>1576</v>
      </c>
      <c r="E421" s="12" t="s">
        <v>5713</v>
      </c>
      <c r="F421" s="12" t="s">
        <v>4489</v>
      </c>
      <c r="G421" s="25">
        <v>1970</v>
      </c>
      <c r="H421" s="25">
        <v>1519</v>
      </c>
      <c r="I421" s="25">
        <v>45</v>
      </c>
      <c r="J421" s="25">
        <v>297</v>
      </c>
      <c r="K421" s="25">
        <v>689</v>
      </c>
      <c r="L421" s="25">
        <v>310</v>
      </c>
      <c r="M421" s="25">
        <v>999</v>
      </c>
      <c r="N421" s="31">
        <v>0.69</v>
      </c>
      <c r="O421" s="25">
        <v>5655</v>
      </c>
      <c r="P421" s="25">
        <v>0</v>
      </c>
      <c r="Q421" s="25">
        <v>93</v>
      </c>
      <c r="R421" s="25">
        <v>6</v>
      </c>
      <c r="S421" s="25">
        <v>2</v>
      </c>
      <c r="T421" s="25">
        <v>1</v>
      </c>
      <c r="U421" s="61">
        <v>7</v>
      </c>
      <c r="V421" s="58">
        <v>8.3999999999999995E-3</v>
      </c>
      <c r="W421" s="33">
        <v>9.9000000000000008E-3</v>
      </c>
      <c r="X421" s="33">
        <v>4.1000000000000003E-3</v>
      </c>
      <c r="Y421" s="33">
        <v>6.4000000000000003E-3</v>
      </c>
      <c r="Z421" s="33">
        <v>1.01E-2</v>
      </c>
      <c r="AA421" s="12" t="s">
        <v>3926</v>
      </c>
      <c r="AB421" s="25">
        <v>66</v>
      </c>
      <c r="AC421" s="25">
        <v>45</v>
      </c>
      <c r="AD421" s="25">
        <v>6</v>
      </c>
      <c r="AE421" s="25">
        <v>4</v>
      </c>
      <c r="AF421" s="25">
        <v>1</v>
      </c>
      <c r="AG421" s="25">
        <v>10</v>
      </c>
      <c r="AH421" s="25">
        <v>0</v>
      </c>
      <c r="AI421" s="12">
        <v>0.15</v>
      </c>
      <c r="AJ421" s="25">
        <v>3818</v>
      </c>
      <c r="AK421" s="25">
        <v>761</v>
      </c>
      <c r="AL421" s="33">
        <v>0.24890000000000001</v>
      </c>
      <c r="AM421" s="3" t="s">
        <v>6090</v>
      </c>
      <c r="AN421" s="12" t="s">
        <v>5713</v>
      </c>
      <c r="AO421" s="12" t="s">
        <v>5713</v>
      </c>
      <c r="AP421" s="12" t="str">
        <f>"792509457440940"</f>
        <v>792509457440940</v>
      </c>
      <c r="AQ421" s="12" t="s">
        <v>1576</v>
      </c>
      <c r="AR421" s="12" t="s">
        <v>1577</v>
      </c>
      <c r="AS421" s="12" t="s">
        <v>2537</v>
      </c>
      <c r="AT421" s="12"/>
      <c r="AU421" s="12" t="s">
        <v>324</v>
      </c>
      <c r="AV421" s="12"/>
      <c r="AW421" s="12"/>
      <c r="AX421" s="12">
        <v>0</v>
      </c>
      <c r="AY421" s="12">
        <v>24</v>
      </c>
      <c r="AZ421" s="12">
        <v>0</v>
      </c>
      <c r="BA421" s="12" t="s">
        <v>5830</v>
      </c>
      <c r="BB421" s="12"/>
      <c r="BC421" s="12" t="s">
        <v>6605</v>
      </c>
      <c r="BD421" s="12"/>
      <c r="BE421" s="12" t="s">
        <v>2291</v>
      </c>
      <c r="BF421" s="12"/>
      <c r="BG421" s="12"/>
      <c r="BH421" s="12"/>
      <c r="BI421" s="12" t="s">
        <v>2538</v>
      </c>
      <c r="BJ421" s="12" t="s">
        <v>2539</v>
      </c>
      <c r="BK421" s="12"/>
      <c r="BL421" s="12" t="s">
        <v>2292</v>
      </c>
      <c r="BM421" s="12" t="s">
        <v>2292</v>
      </c>
      <c r="BN421" s="12" t="s">
        <v>2292</v>
      </c>
      <c r="BO421" s="12" t="s">
        <v>2292</v>
      </c>
      <c r="BP421" s="12"/>
      <c r="BQ421" s="12"/>
      <c r="BR421" s="12"/>
      <c r="BS421" s="12"/>
      <c r="BT421" s="12"/>
      <c r="BU421" s="12"/>
      <c r="BV421" s="12" t="s">
        <v>2540</v>
      </c>
      <c r="BW421" s="12"/>
      <c r="BX421" s="12"/>
      <c r="BY421" s="13" t="s">
        <v>313</v>
      </c>
      <c r="BZ421" s="13" t="s">
        <v>6170</v>
      </c>
      <c r="CA421" s="13" t="s">
        <v>6170</v>
      </c>
      <c r="CB421" s="13" t="s">
        <v>312</v>
      </c>
      <c r="CC421" s="13"/>
      <c r="CD421" s="13" t="s">
        <v>6198</v>
      </c>
      <c r="CE421" s="13"/>
      <c r="CF421" s="13"/>
    </row>
    <row r="422" spans="1:84" ht="18.600000000000001" customHeight="1" x14ac:dyDescent="0.25">
      <c r="A422" s="60" t="s">
        <v>153</v>
      </c>
      <c r="B422" s="2" t="s">
        <v>335</v>
      </c>
      <c r="C422" s="3" t="s">
        <v>3340</v>
      </c>
      <c r="D422" s="12" t="s">
        <v>3423</v>
      </c>
      <c r="E422" s="12" t="s">
        <v>3422</v>
      </c>
      <c r="F422" s="12" t="s">
        <v>4157</v>
      </c>
      <c r="G422" s="25">
        <v>2908</v>
      </c>
      <c r="H422" s="25">
        <v>2264</v>
      </c>
      <c r="I422" s="25">
        <v>63</v>
      </c>
      <c r="J422" s="25">
        <v>514</v>
      </c>
      <c r="K422" s="25">
        <v>2297</v>
      </c>
      <c r="L422" s="25">
        <v>4179</v>
      </c>
      <c r="M422" s="25">
        <v>6476</v>
      </c>
      <c r="N422" s="31">
        <v>0.35</v>
      </c>
      <c r="O422" s="25">
        <v>1916</v>
      </c>
      <c r="P422" s="25">
        <v>0</v>
      </c>
      <c r="Q422" s="25">
        <v>63</v>
      </c>
      <c r="R422" s="25">
        <v>1</v>
      </c>
      <c r="S422" s="25">
        <v>0</v>
      </c>
      <c r="T422" s="25">
        <v>3</v>
      </c>
      <c r="U422" s="61">
        <v>0</v>
      </c>
      <c r="V422" s="58">
        <v>1.5599999999999999E-2</v>
      </c>
      <c r="W422" s="33">
        <v>1.52E-2</v>
      </c>
      <c r="X422" s="33">
        <v>1.2500000000000001E-2</v>
      </c>
      <c r="Y422" s="33">
        <v>1.8800000000000001E-2</v>
      </c>
      <c r="Z422" s="33">
        <v>3.0499999999999999E-2</v>
      </c>
      <c r="AA422" s="33">
        <v>6.4000000000000003E-3</v>
      </c>
      <c r="AB422" s="25">
        <v>132</v>
      </c>
      <c r="AC422" s="25">
        <v>82</v>
      </c>
      <c r="AD422" s="25">
        <v>34</v>
      </c>
      <c r="AE422" s="25">
        <v>3</v>
      </c>
      <c r="AF422" s="25">
        <v>5</v>
      </c>
      <c r="AG422" s="25">
        <v>4</v>
      </c>
      <c r="AH422" s="25">
        <v>4</v>
      </c>
      <c r="AI422" s="12">
        <v>0.3</v>
      </c>
      <c r="AJ422" s="25">
        <v>1805</v>
      </c>
      <c r="AK422" s="25">
        <v>726</v>
      </c>
      <c r="AL422" s="33">
        <v>0.67279999999999995</v>
      </c>
      <c r="AM422" s="3" t="s">
        <v>3340</v>
      </c>
      <c r="AN422" s="12" t="s">
        <v>3422</v>
      </c>
      <c r="AO422" s="12" t="s">
        <v>3422</v>
      </c>
      <c r="AP422" s="12" t="str">
        <f>"1729908247232994"</f>
        <v>1729908247232994</v>
      </c>
      <c r="AQ422" s="12" t="s">
        <v>3423</v>
      </c>
      <c r="AR422" s="12" t="s">
        <v>3424</v>
      </c>
      <c r="AS422" s="12" t="s">
        <v>3425</v>
      </c>
      <c r="AT422" s="12"/>
      <c r="AU422" s="12" t="s">
        <v>324</v>
      </c>
      <c r="AV422" s="12" t="s">
        <v>5731</v>
      </c>
      <c r="AW422" s="12"/>
      <c r="AX422" s="12">
        <v>17</v>
      </c>
      <c r="AY422" s="12">
        <v>293</v>
      </c>
      <c r="AZ422" s="12">
        <v>17</v>
      </c>
      <c r="BA422" s="12" t="s">
        <v>3426</v>
      </c>
      <c r="BB422" s="12" t="s">
        <v>6782</v>
      </c>
      <c r="BC422" s="12" t="s">
        <v>6783</v>
      </c>
      <c r="BD422" s="12"/>
      <c r="BE422" s="12" t="s">
        <v>2291</v>
      </c>
      <c r="BF422" s="12"/>
      <c r="BG422" s="12"/>
      <c r="BH422" s="12"/>
      <c r="BI422" s="12" t="s">
        <v>3425</v>
      </c>
      <c r="BJ422" s="12" t="s">
        <v>3427</v>
      </c>
      <c r="BK422" s="12" t="s">
        <v>6784</v>
      </c>
      <c r="BL422" s="12" t="s">
        <v>2292</v>
      </c>
      <c r="BM422" s="12" t="s">
        <v>2292</v>
      </c>
      <c r="BN422" s="12" t="s">
        <v>2292</v>
      </c>
      <c r="BO422" s="12" t="s">
        <v>2292</v>
      </c>
      <c r="BP422" s="12"/>
      <c r="BQ422" s="12"/>
      <c r="BR422" s="12"/>
      <c r="BS422" s="12"/>
      <c r="BT422" s="12" t="s">
        <v>3428</v>
      </c>
      <c r="BU422" s="12" t="s">
        <v>326</v>
      </c>
      <c r="BV422" s="12" t="s">
        <v>3429</v>
      </c>
      <c r="BW422" s="12" t="s">
        <v>5888</v>
      </c>
      <c r="BX422" s="12"/>
      <c r="BY422" s="13" t="s">
        <v>313</v>
      </c>
      <c r="BZ422" s="13" t="s">
        <v>6170</v>
      </c>
      <c r="CA422" s="13" t="s">
        <v>6170</v>
      </c>
      <c r="CB422" s="13" t="s">
        <v>312</v>
      </c>
      <c r="CC422" s="13"/>
      <c r="CD422" s="13" t="s">
        <v>6195</v>
      </c>
      <c r="CE422" s="13"/>
      <c r="CF422" s="13"/>
    </row>
    <row r="423" spans="1:84" ht="18.600000000000001" customHeight="1" x14ac:dyDescent="0.25">
      <c r="A423" s="60" t="s">
        <v>5207</v>
      </c>
      <c r="B423" s="2" t="s">
        <v>1413</v>
      </c>
      <c r="C423" s="3" t="s">
        <v>2665</v>
      </c>
      <c r="D423" s="12" t="s">
        <v>1408</v>
      </c>
      <c r="E423" s="12" t="s">
        <v>1407</v>
      </c>
      <c r="F423" s="12" t="s">
        <v>4153</v>
      </c>
      <c r="G423" s="25">
        <v>217827</v>
      </c>
      <c r="H423" s="25">
        <v>193655</v>
      </c>
      <c r="I423" s="25">
        <v>6403</v>
      </c>
      <c r="J423" s="25">
        <v>12850</v>
      </c>
      <c r="K423" s="25">
        <v>273115</v>
      </c>
      <c r="L423" s="25">
        <v>418532</v>
      </c>
      <c r="M423" s="25">
        <v>691647</v>
      </c>
      <c r="N423" s="31">
        <v>0.39</v>
      </c>
      <c r="O423" s="25">
        <v>0</v>
      </c>
      <c r="P423" s="25">
        <v>0</v>
      </c>
      <c r="Q423" s="25">
        <v>3848</v>
      </c>
      <c r="R423" s="25">
        <v>459</v>
      </c>
      <c r="S423" s="25">
        <v>203</v>
      </c>
      <c r="T423" s="25">
        <v>142</v>
      </c>
      <c r="U423" s="61">
        <v>267</v>
      </c>
      <c r="V423" s="58">
        <v>7.1999999999999998E-3</v>
      </c>
      <c r="W423" s="33">
        <v>6.3E-3</v>
      </c>
      <c r="X423" s="33">
        <v>3.5999999999999999E-3</v>
      </c>
      <c r="Y423" s="12" t="s">
        <v>3926</v>
      </c>
      <c r="Z423" s="33">
        <v>2.4899999999999999E-2</v>
      </c>
      <c r="AA423" s="12" t="s">
        <v>3926</v>
      </c>
      <c r="AB423" s="25">
        <v>276</v>
      </c>
      <c r="AC423" s="25">
        <v>256</v>
      </c>
      <c r="AD423" s="25">
        <v>6</v>
      </c>
      <c r="AE423" s="25">
        <v>0</v>
      </c>
      <c r="AF423" s="25">
        <v>14</v>
      </c>
      <c r="AG423" s="25">
        <v>0</v>
      </c>
      <c r="AH423" s="25">
        <v>0</v>
      </c>
      <c r="AI423" s="12">
        <v>0.63</v>
      </c>
      <c r="AJ423" s="25">
        <v>113581</v>
      </c>
      <c r="AK423" s="25">
        <v>6215</v>
      </c>
      <c r="AL423" s="33">
        <v>5.79E-2</v>
      </c>
      <c r="AM423" s="3" t="s">
        <v>2665</v>
      </c>
      <c r="AN423" s="12" t="s">
        <v>1407</v>
      </c>
      <c r="AO423" s="12" t="s">
        <v>1407</v>
      </c>
      <c r="AP423" s="12" t="str">
        <f>"84922261157"</f>
        <v>84922261157</v>
      </c>
      <c r="AQ423" s="12" t="s">
        <v>1408</v>
      </c>
      <c r="AR423" s="12" t="s">
        <v>1409</v>
      </c>
      <c r="AS423" s="12" t="s">
        <v>1410</v>
      </c>
      <c r="AT423" s="12" t="s">
        <v>2666</v>
      </c>
      <c r="AU423" s="12" t="s">
        <v>309</v>
      </c>
      <c r="AV423" s="12"/>
      <c r="AW423" s="12"/>
      <c r="AX423" s="12">
        <v>0</v>
      </c>
      <c r="AY423" s="12">
        <v>29006</v>
      </c>
      <c r="AZ423" s="12">
        <v>0</v>
      </c>
      <c r="BA423" s="12" t="s">
        <v>1411</v>
      </c>
      <c r="BB423" s="12" t="s">
        <v>6774</v>
      </c>
      <c r="BC423" s="12" t="s">
        <v>6775</v>
      </c>
      <c r="BD423" s="12"/>
      <c r="BE423" s="12" t="s">
        <v>2291</v>
      </c>
      <c r="BF423" s="12"/>
      <c r="BG423" s="12"/>
      <c r="BH423" s="12"/>
      <c r="BI423" s="12"/>
      <c r="BJ423" s="12"/>
      <c r="BK423" s="12"/>
      <c r="BL423" s="12" t="s">
        <v>2292</v>
      </c>
      <c r="BM423" s="12" t="s">
        <v>2292</v>
      </c>
      <c r="BN423" s="12" t="s">
        <v>2292</v>
      </c>
      <c r="BO423" s="12" t="s">
        <v>2292</v>
      </c>
      <c r="BP423" s="12"/>
      <c r="BQ423" s="12"/>
      <c r="BR423" s="12"/>
      <c r="BS423" s="12"/>
      <c r="BT423" s="12" t="s">
        <v>2667</v>
      </c>
      <c r="BU423" s="12"/>
      <c r="BV423" s="12"/>
      <c r="BW423" s="12" t="s">
        <v>1412</v>
      </c>
      <c r="BX423" s="12"/>
      <c r="BY423" s="13" t="s">
        <v>313</v>
      </c>
      <c r="BZ423" s="13" t="s">
        <v>312</v>
      </c>
      <c r="CA423" s="13"/>
      <c r="CB423" s="13"/>
      <c r="CC423" s="13"/>
      <c r="CD423" s="13"/>
      <c r="CE423" s="13"/>
      <c r="CF423" s="13"/>
    </row>
    <row r="424" spans="1:84" ht="18.600000000000001" customHeight="1" x14ac:dyDescent="0.25">
      <c r="A424" s="60" t="s">
        <v>5207</v>
      </c>
      <c r="B424" s="2" t="s">
        <v>5048</v>
      </c>
      <c r="C424" s="3" t="s">
        <v>5046</v>
      </c>
      <c r="D424" s="12" t="s">
        <v>5172</v>
      </c>
      <c r="E424" s="12" t="s">
        <v>5173</v>
      </c>
      <c r="F424" s="12" t="s">
        <v>5174</v>
      </c>
      <c r="G424" s="25">
        <v>2185260</v>
      </c>
      <c r="H424" s="25">
        <v>1931533</v>
      </c>
      <c r="I424" s="25">
        <v>91401</v>
      </c>
      <c r="J424" s="25">
        <v>94817</v>
      </c>
      <c r="K424" s="25">
        <v>11842044</v>
      </c>
      <c r="L424" s="25">
        <v>4541759</v>
      </c>
      <c r="M424" s="25">
        <v>16383803</v>
      </c>
      <c r="N424" s="31">
        <v>0.72</v>
      </c>
      <c r="O424" s="25">
        <v>22340</v>
      </c>
      <c r="P424" s="25">
        <v>1532436</v>
      </c>
      <c r="Q424" s="25">
        <v>51920</v>
      </c>
      <c r="R424" s="25">
        <v>3546</v>
      </c>
      <c r="S424" s="25">
        <v>4452</v>
      </c>
      <c r="T424" s="25">
        <v>2556</v>
      </c>
      <c r="U424" s="61">
        <v>5029</v>
      </c>
      <c r="V424" s="58">
        <v>8.6999999999999994E-3</v>
      </c>
      <c r="W424" s="33">
        <v>7.7000000000000002E-3</v>
      </c>
      <c r="X424" s="33">
        <v>6.4999999999999997E-3</v>
      </c>
      <c r="Y424" s="33">
        <v>7.6E-3</v>
      </c>
      <c r="Z424" s="33">
        <v>1.21E-2</v>
      </c>
      <c r="AA424" s="33">
        <v>6.4999999999999997E-3</v>
      </c>
      <c r="AB424" s="25">
        <v>1270</v>
      </c>
      <c r="AC424" s="25">
        <v>767</v>
      </c>
      <c r="AD424" s="25">
        <v>97</v>
      </c>
      <c r="AE424" s="25">
        <v>63</v>
      </c>
      <c r="AF424" s="25">
        <v>334</v>
      </c>
      <c r="AG424" s="25">
        <v>3</v>
      </c>
      <c r="AH424" s="25">
        <v>6</v>
      </c>
      <c r="AI424" s="12">
        <v>2.89</v>
      </c>
      <c r="AJ424" s="25">
        <v>207446</v>
      </c>
      <c r="AK424" s="25">
        <v>23443</v>
      </c>
      <c r="AL424" s="33">
        <v>0.12740000000000001</v>
      </c>
      <c r="AM424" s="3" t="s">
        <v>5046</v>
      </c>
      <c r="AN424" s="12" t="s">
        <v>5173</v>
      </c>
      <c r="AO424" s="12" t="s">
        <v>5173</v>
      </c>
      <c r="AP424" s="12" t="str">
        <f>"66035312931"</f>
        <v>66035312931</v>
      </c>
      <c r="AQ424" s="12" t="s">
        <v>5172</v>
      </c>
      <c r="AR424" s="12" t="s">
        <v>5501</v>
      </c>
      <c r="AS424" s="12" t="s">
        <v>5502</v>
      </c>
      <c r="AT424" s="12" t="s">
        <v>5503</v>
      </c>
      <c r="AU424" s="12" t="s">
        <v>309</v>
      </c>
      <c r="AV424" s="12"/>
      <c r="AW424" s="12"/>
      <c r="AX424" s="12">
        <v>0</v>
      </c>
      <c r="AY424" s="12">
        <v>7804</v>
      </c>
      <c r="AZ424" s="12">
        <v>0</v>
      </c>
      <c r="BA424" s="12" t="s">
        <v>5504</v>
      </c>
      <c r="BB424" s="12" t="s">
        <v>7409</v>
      </c>
      <c r="BC424" s="12" t="s">
        <v>7410</v>
      </c>
      <c r="BD424" s="12"/>
      <c r="BE424" s="12" t="s">
        <v>2291</v>
      </c>
      <c r="BF424" s="12"/>
      <c r="BG424" s="12"/>
      <c r="BH424" s="12"/>
      <c r="BI424" s="12"/>
      <c r="BJ424" s="12"/>
      <c r="BK424" s="12"/>
      <c r="BL424" s="12" t="s">
        <v>2292</v>
      </c>
      <c r="BM424" s="12" t="s">
        <v>2292</v>
      </c>
      <c r="BN424" s="12" t="s">
        <v>2292</v>
      </c>
      <c r="BO424" s="12" t="s">
        <v>2291</v>
      </c>
      <c r="BP424" s="12"/>
      <c r="BQ424" s="12"/>
      <c r="BR424" s="12"/>
      <c r="BS424" s="12"/>
      <c r="BT424" s="12"/>
      <c r="BU424" s="12"/>
      <c r="BV424" s="12"/>
      <c r="BW424" s="12" t="s">
        <v>5505</v>
      </c>
      <c r="BX424" s="12"/>
      <c r="BY424" s="13" t="s">
        <v>313</v>
      </c>
      <c r="BZ424" s="13" t="s">
        <v>6177</v>
      </c>
      <c r="CA424" s="13"/>
      <c r="CB424" s="13"/>
      <c r="CC424" s="13"/>
      <c r="CD424" s="13"/>
      <c r="CE424" s="13"/>
      <c r="CF424" s="13"/>
    </row>
    <row r="425" spans="1:84" ht="18.600000000000001" customHeight="1" x14ac:dyDescent="0.25">
      <c r="A425" s="60" t="s">
        <v>5207</v>
      </c>
      <c r="B425" s="2" t="s">
        <v>315</v>
      </c>
      <c r="C425" s="3" t="s">
        <v>3076</v>
      </c>
      <c r="D425" s="12" t="s">
        <v>1414</v>
      </c>
      <c r="E425" s="12" t="s">
        <v>135</v>
      </c>
      <c r="F425" s="12" t="s">
        <v>4422</v>
      </c>
      <c r="G425" s="25">
        <v>112729</v>
      </c>
      <c r="H425" s="25">
        <v>96163</v>
      </c>
      <c r="I425" s="25">
        <v>3889</v>
      </c>
      <c r="J425" s="25">
        <v>7747</v>
      </c>
      <c r="K425" s="25">
        <v>154159</v>
      </c>
      <c r="L425" s="25">
        <v>152772</v>
      </c>
      <c r="M425" s="25">
        <v>306931</v>
      </c>
      <c r="N425" s="31">
        <v>0.5</v>
      </c>
      <c r="O425" s="25">
        <v>21564</v>
      </c>
      <c r="P425" s="25">
        <v>25159</v>
      </c>
      <c r="Q425" s="25">
        <v>1712</v>
      </c>
      <c r="R425" s="25">
        <v>169</v>
      </c>
      <c r="S425" s="25">
        <v>1670</v>
      </c>
      <c r="T425" s="25">
        <v>178</v>
      </c>
      <c r="U425" s="61">
        <v>1201</v>
      </c>
      <c r="V425" s="58">
        <v>5.0000000000000001E-3</v>
      </c>
      <c r="W425" s="33">
        <v>5.5999999999999999E-3</v>
      </c>
      <c r="X425" s="33">
        <v>2.8999999999999998E-3</v>
      </c>
      <c r="Y425" s="33">
        <v>2.3999999999999998E-3</v>
      </c>
      <c r="Z425" s="33">
        <v>6.6E-3</v>
      </c>
      <c r="AA425" s="33">
        <v>2.5000000000000001E-3</v>
      </c>
      <c r="AB425" s="25">
        <v>1212</v>
      </c>
      <c r="AC425" s="25">
        <v>746</v>
      </c>
      <c r="AD425" s="25">
        <v>273</v>
      </c>
      <c r="AE425" s="25">
        <v>61</v>
      </c>
      <c r="AF425" s="25">
        <v>68</v>
      </c>
      <c r="AG425" s="25">
        <v>23</v>
      </c>
      <c r="AH425" s="25">
        <v>41</v>
      </c>
      <c r="AI425" s="12">
        <v>2.76</v>
      </c>
      <c r="AJ425" s="25">
        <v>23844</v>
      </c>
      <c r="AK425" s="25">
        <v>8822</v>
      </c>
      <c r="AL425" s="33">
        <v>0.58730000000000004</v>
      </c>
      <c r="AM425" s="3" t="s">
        <v>3076</v>
      </c>
      <c r="AN425" s="12" t="s">
        <v>135</v>
      </c>
      <c r="AO425" s="12" t="s">
        <v>135</v>
      </c>
      <c r="AP425" s="12" t="str">
        <f>"147981758594357"</f>
        <v>147981758594357</v>
      </c>
      <c r="AQ425" s="12" t="s">
        <v>1414</v>
      </c>
      <c r="AR425" s="12" t="s">
        <v>1415</v>
      </c>
      <c r="AS425" s="12" t="s">
        <v>5490</v>
      </c>
      <c r="AT425" s="12"/>
      <c r="AU425" s="12" t="s">
        <v>324</v>
      </c>
      <c r="AV425" s="12" t="s">
        <v>5731</v>
      </c>
      <c r="AW425" s="12" t="s">
        <v>6062</v>
      </c>
      <c r="AX425" s="12">
        <v>4343</v>
      </c>
      <c r="AY425" s="12">
        <v>1813</v>
      </c>
      <c r="AZ425" s="12">
        <v>4343</v>
      </c>
      <c r="BA425" s="12" t="s">
        <v>1416</v>
      </c>
      <c r="BB425" s="12" t="s">
        <v>7381</v>
      </c>
      <c r="BC425" s="12" t="s">
        <v>7382</v>
      </c>
      <c r="BD425" s="12"/>
      <c r="BE425" s="12" t="s">
        <v>2291</v>
      </c>
      <c r="BF425" s="12"/>
      <c r="BG425" s="12"/>
      <c r="BH425" s="12"/>
      <c r="BI425" s="12" t="s">
        <v>5491</v>
      </c>
      <c r="BJ425" s="12" t="s">
        <v>5492</v>
      </c>
      <c r="BK425" s="12"/>
      <c r="BL425" s="12" t="s">
        <v>2292</v>
      </c>
      <c r="BM425" s="12" t="s">
        <v>2292</v>
      </c>
      <c r="BN425" s="12" t="s">
        <v>2292</v>
      </c>
      <c r="BO425" s="12" t="s">
        <v>2292</v>
      </c>
      <c r="BP425" s="12" t="s">
        <v>5493</v>
      </c>
      <c r="BQ425" s="12"/>
      <c r="BR425" s="12"/>
      <c r="BS425" s="12"/>
      <c r="BT425" s="12" t="s">
        <v>6063</v>
      </c>
      <c r="BU425" s="12" t="s">
        <v>326</v>
      </c>
      <c r="BV425" s="12"/>
      <c r="BW425" s="12" t="s">
        <v>5494</v>
      </c>
      <c r="BX425" s="12"/>
      <c r="BY425" s="13" t="s">
        <v>313</v>
      </c>
      <c r="BZ425" s="13" t="s">
        <v>6173</v>
      </c>
      <c r="CA425" s="13"/>
      <c r="CB425" s="13"/>
      <c r="CC425" s="13"/>
      <c r="CD425" s="13"/>
      <c r="CE425" s="13" t="s">
        <v>6175</v>
      </c>
      <c r="CF425" s="13" t="s">
        <v>6178</v>
      </c>
    </row>
    <row r="426" spans="1:84" ht="18.600000000000001" customHeight="1" x14ac:dyDescent="0.25">
      <c r="A426" s="60" t="s">
        <v>5207</v>
      </c>
      <c r="B426" s="2" t="s">
        <v>5047</v>
      </c>
      <c r="C426" s="3" t="s">
        <v>5049</v>
      </c>
      <c r="D426" s="12" t="s">
        <v>5138</v>
      </c>
      <c r="E426" s="12" t="s">
        <v>5045</v>
      </c>
      <c r="F426" s="12" t="s">
        <v>5139</v>
      </c>
      <c r="G426" s="25">
        <v>127484</v>
      </c>
      <c r="H426" s="25">
        <v>116063</v>
      </c>
      <c r="I426" s="25">
        <v>3226</v>
      </c>
      <c r="J426" s="25">
        <v>2861</v>
      </c>
      <c r="K426" s="25">
        <v>38268</v>
      </c>
      <c r="L426" s="25">
        <v>23253</v>
      </c>
      <c r="M426" s="25">
        <v>61521</v>
      </c>
      <c r="N426" s="31">
        <v>0.62</v>
      </c>
      <c r="O426" s="25">
        <v>95469</v>
      </c>
      <c r="P426" s="25">
        <v>0</v>
      </c>
      <c r="Q426" s="25">
        <v>1737</v>
      </c>
      <c r="R426" s="25">
        <v>391</v>
      </c>
      <c r="S426" s="25">
        <v>660</v>
      </c>
      <c r="T426" s="25">
        <v>482</v>
      </c>
      <c r="U426" s="61">
        <v>2064</v>
      </c>
      <c r="V426" s="58">
        <v>1.04E-2</v>
      </c>
      <c r="W426" s="33">
        <v>1.11E-2</v>
      </c>
      <c r="X426" s="33">
        <v>9.7999999999999997E-3</v>
      </c>
      <c r="Y426" s="33">
        <v>1.26E-2</v>
      </c>
      <c r="Z426" s="33">
        <v>2.52E-2</v>
      </c>
      <c r="AA426" s="33">
        <v>7.1000000000000004E-3</v>
      </c>
      <c r="AB426" s="25">
        <v>605</v>
      </c>
      <c r="AC426" s="25">
        <v>196</v>
      </c>
      <c r="AD426" s="25">
        <v>251</v>
      </c>
      <c r="AE426" s="25">
        <v>88</v>
      </c>
      <c r="AF426" s="25">
        <v>5</v>
      </c>
      <c r="AG426" s="25">
        <v>47</v>
      </c>
      <c r="AH426" s="25">
        <v>18</v>
      </c>
      <c r="AI426" s="12">
        <v>1.38</v>
      </c>
      <c r="AJ426" s="25">
        <v>20507</v>
      </c>
      <c r="AK426" s="25">
        <v>0</v>
      </c>
      <c r="AL426" s="31">
        <v>0</v>
      </c>
      <c r="AM426" s="3" t="s">
        <v>5049</v>
      </c>
      <c r="AN426" s="12" t="s">
        <v>5045</v>
      </c>
      <c r="AO426" s="12" t="s">
        <v>5045</v>
      </c>
      <c r="AP426" s="12" t="str">
        <f>"1613812852165461"</f>
        <v>1613812852165461</v>
      </c>
      <c r="AQ426" s="12" t="s">
        <v>5138</v>
      </c>
      <c r="AR426" s="12"/>
      <c r="AS426" s="12" t="s">
        <v>5391</v>
      </c>
      <c r="AT426" s="12"/>
      <c r="AU426" s="12" t="s">
        <v>319</v>
      </c>
      <c r="AV426" s="12"/>
      <c r="AW426" s="12"/>
      <c r="AX426" s="12">
        <v>0</v>
      </c>
      <c r="AY426" s="12">
        <v>223</v>
      </c>
      <c r="AZ426" s="12">
        <v>0</v>
      </c>
      <c r="BA426" s="12" t="s">
        <v>5392</v>
      </c>
      <c r="BB426" s="12"/>
      <c r="BC426" s="12" t="s">
        <v>6977</v>
      </c>
      <c r="BD426" s="12"/>
      <c r="BE426" s="12" t="s">
        <v>2291</v>
      </c>
      <c r="BF426" s="12"/>
      <c r="BG426" s="12"/>
      <c r="BH426" s="12"/>
      <c r="BI426" s="12"/>
      <c r="BJ426" s="12"/>
      <c r="BK426" s="12"/>
      <c r="BL426" s="12" t="s">
        <v>2292</v>
      </c>
      <c r="BM426" s="12" t="s">
        <v>2292</v>
      </c>
      <c r="BN426" s="12" t="s">
        <v>2292</v>
      </c>
      <c r="BO426" s="12" t="s">
        <v>2292</v>
      </c>
      <c r="BP426" s="12"/>
      <c r="BQ426" s="12"/>
      <c r="BR426" s="12"/>
      <c r="BS426" s="12"/>
      <c r="BT426" s="12"/>
      <c r="BU426" s="12"/>
      <c r="BV426" s="12"/>
      <c r="BW426" s="12"/>
      <c r="BX426" s="12"/>
      <c r="BY426" s="13" t="s">
        <v>313</v>
      </c>
      <c r="BZ426" s="13" t="s">
        <v>6173</v>
      </c>
      <c r="CA426" s="13" t="s">
        <v>6170</v>
      </c>
      <c r="CB426" s="13" t="s">
        <v>6197</v>
      </c>
      <c r="CC426" s="13"/>
      <c r="CD426" s="13" t="s">
        <v>6198</v>
      </c>
      <c r="CE426" s="13"/>
      <c r="CF426" s="13"/>
    </row>
    <row r="427" spans="1:84" ht="18.600000000000001" customHeight="1" x14ac:dyDescent="0.25">
      <c r="A427" s="60" t="s">
        <v>5207</v>
      </c>
      <c r="B427" s="2" t="s">
        <v>335</v>
      </c>
      <c r="C427" s="4" t="s">
        <v>5050</v>
      </c>
      <c r="D427" s="12" t="s">
        <v>5129</v>
      </c>
      <c r="E427" s="12" t="s">
        <v>5130</v>
      </c>
      <c r="F427" s="12" t="s">
        <v>5131</v>
      </c>
      <c r="G427" s="25">
        <v>24153</v>
      </c>
      <c r="H427" s="25">
        <v>20602</v>
      </c>
      <c r="I427" s="25">
        <v>454</v>
      </c>
      <c r="J427" s="25">
        <v>2056</v>
      </c>
      <c r="K427" s="25">
        <v>39680</v>
      </c>
      <c r="L427" s="25">
        <v>85203</v>
      </c>
      <c r="M427" s="25">
        <v>124883</v>
      </c>
      <c r="N427" s="31">
        <v>0.32</v>
      </c>
      <c r="O427" s="25">
        <v>3174</v>
      </c>
      <c r="P427" s="25">
        <v>1662</v>
      </c>
      <c r="Q427" s="25">
        <v>587</v>
      </c>
      <c r="R427" s="25">
        <v>53</v>
      </c>
      <c r="S427" s="25">
        <v>185</v>
      </c>
      <c r="T427" s="25">
        <v>18</v>
      </c>
      <c r="U427" s="61">
        <v>198</v>
      </c>
      <c r="V427" s="58">
        <v>9.1999999999999998E-3</v>
      </c>
      <c r="W427" s="33">
        <v>1.12E-2</v>
      </c>
      <c r="X427" s="33">
        <v>3.5999999999999999E-3</v>
      </c>
      <c r="Y427" s="33">
        <v>1.6999999999999999E-3</v>
      </c>
      <c r="Z427" s="33">
        <v>1.4800000000000001E-2</v>
      </c>
      <c r="AA427" s="33">
        <v>1.5E-3</v>
      </c>
      <c r="AB427" s="25">
        <v>398</v>
      </c>
      <c r="AC427" s="25">
        <v>250</v>
      </c>
      <c r="AD427" s="25">
        <v>88</v>
      </c>
      <c r="AE427" s="25">
        <v>11</v>
      </c>
      <c r="AF427" s="25">
        <v>37</v>
      </c>
      <c r="AG427" s="25">
        <v>7</v>
      </c>
      <c r="AH427" s="25">
        <v>5</v>
      </c>
      <c r="AI427" s="12">
        <v>0.91</v>
      </c>
      <c r="AJ427" s="25">
        <v>7696</v>
      </c>
      <c r="AK427" s="25">
        <v>0</v>
      </c>
      <c r="AL427" s="31">
        <v>0</v>
      </c>
      <c r="AM427" s="4" t="s">
        <v>5050</v>
      </c>
      <c r="AN427" s="12" t="s">
        <v>5130</v>
      </c>
      <c r="AO427" s="12" t="s">
        <v>5130</v>
      </c>
      <c r="AP427" s="12" t="str">
        <f>"249118824849"</f>
        <v>249118824849</v>
      </c>
      <c r="AQ427" s="12" t="s">
        <v>5129</v>
      </c>
      <c r="AR427" s="12" t="s">
        <v>5366</v>
      </c>
      <c r="AS427" s="12" t="s">
        <v>5367</v>
      </c>
      <c r="AT427" s="12"/>
      <c r="AU427" s="12" t="s">
        <v>324</v>
      </c>
      <c r="AV427" s="12" t="s">
        <v>5731</v>
      </c>
      <c r="AW427" s="12">
        <v>2008</v>
      </c>
      <c r="AX427" s="12">
        <v>16</v>
      </c>
      <c r="AY427" s="12">
        <v>728</v>
      </c>
      <c r="AZ427" s="12">
        <v>16</v>
      </c>
      <c r="BA427" s="12" t="s">
        <v>5368</v>
      </c>
      <c r="BB427" s="12" t="s">
        <v>6847</v>
      </c>
      <c r="BC427" s="12" t="s">
        <v>6848</v>
      </c>
      <c r="BD427" s="12"/>
      <c r="BE427" s="12" t="s">
        <v>2291</v>
      </c>
      <c r="BF427" s="12"/>
      <c r="BG427" s="12"/>
      <c r="BH427" s="12"/>
      <c r="BI427" s="12"/>
      <c r="BJ427" s="12"/>
      <c r="BK427" s="12"/>
      <c r="BL427" s="12" t="s">
        <v>2292</v>
      </c>
      <c r="BM427" s="12" t="s">
        <v>2292</v>
      </c>
      <c r="BN427" s="12" t="s">
        <v>2292</v>
      </c>
      <c r="BO427" s="12" t="s">
        <v>2292</v>
      </c>
      <c r="BP427" s="12"/>
      <c r="BQ427" s="12"/>
      <c r="BR427" s="12"/>
      <c r="BS427" s="12"/>
      <c r="BT427" s="12" t="s">
        <v>5369</v>
      </c>
      <c r="BU427" s="12" t="s">
        <v>326</v>
      </c>
      <c r="BV427" s="12"/>
      <c r="BW427" s="12" t="s">
        <v>5370</v>
      </c>
      <c r="BX427" s="12"/>
      <c r="BY427" s="13" t="s">
        <v>313</v>
      </c>
      <c r="BZ427" s="13" t="s">
        <v>6170</v>
      </c>
      <c r="CA427" s="13" t="s">
        <v>6170</v>
      </c>
      <c r="CB427" s="13" t="s">
        <v>6201</v>
      </c>
      <c r="CC427" s="13"/>
      <c r="CD427" s="13" t="s">
        <v>6198</v>
      </c>
      <c r="CE427" s="13"/>
      <c r="CF427" s="13"/>
    </row>
    <row r="428" spans="1:84" ht="18.600000000000001" customHeight="1" x14ac:dyDescent="0.25">
      <c r="A428" s="60" t="s">
        <v>154</v>
      </c>
      <c r="B428" s="2" t="s">
        <v>1581</v>
      </c>
      <c r="C428" s="3" t="s">
        <v>3886</v>
      </c>
      <c r="D428" s="12" t="s">
        <v>1578</v>
      </c>
      <c r="E428" s="12" t="s">
        <v>3460</v>
      </c>
      <c r="F428" s="12" t="s">
        <v>4313</v>
      </c>
      <c r="G428" s="25">
        <v>908173</v>
      </c>
      <c r="H428" s="25">
        <v>837659</v>
      </c>
      <c r="I428" s="25">
        <v>17394</v>
      </c>
      <c r="J428" s="25">
        <v>21924</v>
      </c>
      <c r="K428" s="25">
        <v>2810098</v>
      </c>
      <c r="L428" s="25">
        <v>133555</v>
      </c>
      <c r="M428" s="25">
        <v>2943653</v>
      </c>
      <c r="N428" s="31">
        <v>0.95</v>
      </c>
      <c r="O428" s="25">
        <v>211763</v>
      </c>
      <c r="P428" s="25">
        <v>18506</v>
      </c>
      <c r="Q428" s="25">
        <v>25255</v>
      </c>
      <c r="R428" s="25">
        <v>1063</v>
      </c>
      <c r="S428" s="25">
        <v>463</v>
      </c>
      <c r="T428" s="25">
        <v>4162</v>
      </c>
      <c r="U428" s="61">
        <v>250</v>
      </c>
      <c r="V428" s="58">
        <v>4.3E-3</v>
      </c>
      <c r="W428" s="33">
        <v>5.1000000000000004E-3</v>
      </c>
      <c r="X428" s="33">
        <v>3.5000000000000001E-3</v>
      </c>
      <c r="Y428" s="33">
        <v>8.6999999999999994E-3</v>
      </c>
      <c r="Z428" s="33">
        <v>1.5E-3</v>
      </c>
      <c r="AA428" s="33">
        <v>1.1999999999999999E-3</v>
      </c>
      <c r="AB428" s="25">
        <v>2421</v>
      </c>
      <c r="AC428" s="25">
        <v>1695</v>
      </c>
      <c r="AD428" s="25">
        <v>363</v>
      </c>
      <c r="AE428" s="25">
        <v>52</v>
      </c>
      <c r="AF428" s="25">
        <v>228</v>
      </c>
      <c r="AG428" s="25">
        <v>70</v>
      </c>
      <c r="AH428" s="25">
        <v>13</v>
      </c>
      <c r="AI428" s="12">
        <v>5.51</v>
      </c>
      <c r="AJ428" s="25">
        <v>108533</v>
      </c>
      <c r="AK428" s="25">
        <v>52115</v>
      </c>
      <c r="AL428" s="33">
        <v>0.92369999999999997</v>
      </c>
      <c r="AM428" s="3" t="s">
        <v>3886</v>
      </c>
      <c r="AN428" s="12" t="s">
        <v>3460</v>
      </c>
      <c r="AO428" s="12" t="s">
        <v>3460</v>
      </c>
      <c r="AP428" s="12" t="str">
        <f>"1384775358471464"</f>
        <v>1384775358471464</v>
      </c>
      <c r="AQ428" s="12" t="s">
        <v>1578</v>
      </c>
      <c r="AR428" s="12" t="s">
        <v>1579</v>
      </c>
      <c r="AS428" s="12" t="s">
        <v>2677</v>
      </c>
      <c r="AT428" s="12" t="s">
        <v>2678</v>
      </c>
      <c r="AU428" s="12" t="s">
        <v>319</v>
      </c>
      <c r="AV428" s="12"/>
      <c r="AW428" s="12"/>
      <c r="AX428" s="12">
        <v>0</v>
      </c>
      <c r="AY428" s="12">
        <v>7381</v>
      </c>
      <c r="AZ428" s="12">
        <v>0</v>
      </c>
      <c r="BA428" s="12" t="s">
        <v>3461</v>
      </c>
      <c r="BB428" s="12" t="s">
        <v>7127</v>
      </c>
      <c r="BC428" s="12" t="s">
        <v>7128</v>
      </c>
      <c r="BD428" s="12" t="s">
        <v>3303</v>
      </c>
      <c r="BE428" s="12" t="s">
        <v>2291</v>
      </c>
      <c r="BF428" s="12"/>
      <c r="BG428" s="12"/>
      <c r="BH428" s="12"/>
      <c r="BI428" s="12"/>
      <c r="BJ428" s="12"/>
      <c r="BK428" s="12"/>
      <c r="BL428" s="12" t="s">
        <v>2292</v>
      </c>
      <c r="BM428" s="12" t="s">
        <v>2292</v>
      </c>
      <c r="BN428" s="12" t="s">
        <v>2292</v>
      </c>
      <c r="BO428" s="12" t="s">
        <v>2291</v>
      </c>
      <c r="BP428" s="12"/>
      <c r="BQ428" s="12"/>
      <c r="BR428" s="12"/>
      <c r="BS428" s="12"/>
      <c r="BT428" s="12">
        <v>21221221</v>
      </c>
      <c r="BU428" s="12"/>
      <c r="BV428" s="12"/>
      <c r="BW428" s="12" t="s">
        <v>1580</v>
      </c>
      <c r="BX428" s="12"/>
      <c r="BY428" s="13" t="s">
        <v>313</v>
      </c>
      <c r="BZ428" s="13" t="s">
        <v>6174</v>
      </c>
      <c r="CA428" s="13" t="s">
        <v>6170</v>
      </c>
      <c r="CB428" s="13" t="s">
        <v>6202</v>
      </c>
      <c r="CC428" s="13" t="s">
        <v>6187</v>
      </c>
      <c r="CD428" s="13" t="s">
        <v>6195</v>
      </c>
      <c r="CE428" s="13"/>
      <c r="CF428" s="13"/>
    </row>
    <row r="429" spans="1:84" ht="18.600000000000001" customHeight="1" x14ac:dyDescent="0.25">
      <c r="A429" s="60" t="s">
        <v>154</v>
      </c>
      <c r="B429" s="2" t="s">
        <v>1587</v>
      </c>
      <c r="C429" s="3" t="s">
        <v>2620</v>
      </c>
      <c r="D429" s="12" t="s">
        <v>1582</v>
      </c>
      <c r="E429" s="12" t="s">
        <v>1583</v>
      </c>
      <c r="F429" s="12" t="s">
        <v>4123</v>
      </c>
      <c r="G429" s="25">
        <v>956404</v>
      </c>
      <c r="H429" s="25">
        <v>600605</v>
      </c>
      <c r="I429" s="25">
        <v>142358</v>
      </c>
      <c r="J429" s="25">
        <v>72583</v>
      </c>
      <c r="K429" s="25">
        <v>5030089</v>
      </c>
      <c r="L429" s="25">
        <v>3438076</v>
      </c>
      <c r="M429" s="25">
        <v>8468165</v>
      </c>
      <c r="N429" s="31">
        <v>0.59</v>
      </c>
      <c r="O429" s="25">
        <v>410910</v>
      </c>
      <c r="P429" s="25">
        <v>1963935</v>
      </c>
      <c r="Q429" s="25">
        <v>130580</v>
      </c>
      <c r="R429" s="25">
        <v>4279</v>
      </c>
      <c r="S429" s="25">
        <v>4256</v>
      </c>
      <c r="T429" s="25">
        <v>526</v>
      </c>
      <c r="U429" s="61">
        <v>1187</v>
      </c>
      <c r="V429" s="58">
        <v>9.1000000000000004E-3</v>
      </c>
      <c r="W429" s="33">
        <v>4.1999999999999997E-3</v>
      </c>
      <c r="X429" s="33">
        <v>5.3E-3</v>
      </c>
      <c r="Y429" s="33">
        <v>8.2000000000000007E-3</v>
      </c>
      <c r="Z429" s="33">
        <v>2.1100000000000001E-2</v>
      </c>
      <c r="AA429" s="33">
        <v>2.2000000000000001E-3</v>
      </c>
      <c r="AB429" s="25">
        <v>1286</v>
      </c>
      <c r="AC429" s="25">
        <v>655</v>
      </c>
      <c r="AD429" s="25">
        <v>86</v>
      </c>
      <c r="AE429" s="25">
        <v>28</v>
      </c>
      <c r="AF429" s="25">
        <v>377</v>
      </c>
      <c r="AG429" s="25">
        <v>120</v>
      </c>
      <c r="AH429" s="25">
        <v>20</v>
      </c>
      <c r="AI429" s="12">
        <v>2.93</v>
      </c>
      <c r="AJ429" s="25">
        <v>88143</v>
      </c>
      <c r="AK429" s="25">
        <v>16743</v>
      </c>
      <c r="AL429" s="33">
        <v>0.23449999999999999</v>
      </c>
      <c r="AM429" s="3" t="s">
        <v>2620</v>
      </c>
      <c r="AN429" s="12" t="s">
        <v>1583</v>
      </c>
      <c r="AO429" s="12" t="s">
        <v>1583</v>
      </c>
      <c r="AP429" s="12" t="str">
        <f>"63887949740"</f>
        <v>63887949740</v>
      </c>
      <c r="AQ429" s="12" t="s">
        <v>1582</v>
      </c>
      <c r="AR429" s="12" t="s">
        <v>1584</v>
      </c>
      <c r="AS429" s="12"/>
      <c r="AT429" s="12"/>
      <c r="AU429" s="12" t="s">
        <v>319</v>
      </c>
      <c r="AV429" s="12"/>
      <c r="AW429" s="12"/>
      <c r="AX429" s="12">
        <v>0</v>
      </c>
      <c r="AY429" s="12">
        <v>10930</v>
      </c>
      <c r="AZ429" s="12">
        <v>0</v>
      </c>
      <c r="BA429" s="12" t="s">
        <v>1585</v>
      </c>
      <c r="BB429" s="12"/>
      <c r="BC429" s="12" t="s">
        <v>6709</v>
      </c>
      <c r="BD429" s="12" t="s">
        <v>1586</v>
      </c>
      <c r="BE429" s="12" t="s">
        <v>2291</v>
      </c>
      <c r="BF429" s="12"/>
      <c r="BG429" s="12"/>
      <c r="BH429" s="12"/>
      <c r="BI429" s="12"/>
      <c r="BJ429" s="12"/>
      <c r="BK429" s="12"/>
      <c r="BL429" s="12" t="s">
        <v>2292</v>
      </c>
      <c r="BM429" s="12" t="s">
        <v>2292</v>
      </c>
      <c r="BN429" s="12" t="s">
        <v>2292</v>
      </c>
      <c r="BO429" s="12" t="s">
        <v>2291</v>
      </c>
      <c r="BP429" s="12"/>
      <c r="BQ429" s="12"/>
      <c r="BR429" s="12" t="s">
        <v>2621</v>
      </c>
      <c r="BS429" s="12" t="s">
        <v>2622</v>
      </c>
      <c r="BT429" s="12"/>
      <c r="BU429" s="12"/>
      <c r="BV429" s="12"/>
      <c r="BW429" s="12"/>
      <c r="BX429" s="12"/>
      <c r="BY429" s="13" t="s">
        <v>313</v>
      </c>
      <c r="BZ429" s="13" t="s">
        <v>6170</v>
      </c>
      <c r="CA429" s="13" t="s">
        <v>6170</v>
      </c>
      <c r="CB429" s="13" t="s">
        <v>6197</v>
      </c>
      <c r="CC429" s="13"/>
      <c r="CD429" s="13" t="s">
        <v>6198</v>
      </c>
      <c r="CE429" s="13"/>
      <c r="CF429" s="13"/>
    </row>
    <row r="430" spans="1:84" ht="18.600000000000001" customHeight="1" x14ac:dyDescent="0.25">
      <c r="A430" s="60" t="s">
        <v>154</v>
      </c>
      <c r="B430" s="2" t="s">
        <v>315</v>
      </c>
      <c r="C430" s="3" t="s">
        <v>2435</v>
      </c>
      <c r="D430" s="12" t="s">
        <v>1588</v>
      </c>
      <c r="E430" s="12" t="s">
        <v>155</v>
      </c>
      <c r="F430" s="12" t="s">
        <v>4015</v>
      </c>
      <c r="G430" s="25">
        <v>54041</v>
      </c>
      <c r="H430" s="25">
        <v>41813</v>
      </c>
      <c r="I430" s="25">
        <v>1602</v>
      </c>
      <c r="J430" s="25">
        <v>8302</v>
      </c>
      <c r="K430" s="25">
        <v>41047</v>
      </c>
      <c r="L430" s="25">
        <v>34559</v>
      </c>
      <c r="M430" s="25">
        <v>75606</v>
      </c>
      <c r="N430" s="31">
        <v>0.54</v>
      </c>
      <c r="O430" s="25">
        <v>144048</v>
      </c>
      <c r="P430" s="25">
        <v>0</v>
      </c>
      <c r="Q430" s="25">
        <v>1538</v>
      </c>
      <c r="R430" s="25">
        <v>554</v>
      </c>
      <c r="S430" s="25">
        <v>46</v>
      </c>
      <c r="T430" s="25">
        <v>147</v>
      </c>
      <c r="U430" s="61">
        <v>39</v>
      </c>
      <c r="V430" s="58">
        <v>5.9999999999999995E-4</v>
      </c>
      <c r="W430" s="33">
        <v>8.0000000000000004E-4</v>
      </c>
      <c r="X430" s="33">
        <v>2.0000000000000001E-4</v>
      </c>
      <c r="Y430" s="33">
        <v>1E-4</v>
      </c>
      <c r="Z430" s="33">
        <v>1.9E-3</v>
      </c>
      <c r="AA430" s="33">
        <v>2.0000000000000001E-4</v>
      </c>
      <c r="AB430" s="25">
        <v>1669</v>
      </c>
      <c r="AC430" s="25">
        <v>924</v>
      </c>
      <c r="AD430" s="25">
        <v>495</v>
      </c>
      <c r="AE430" s="25">
        <v>50</v>
      </c>
      <c r="AF430" s="25">
        <v>19</v>
      </c>
      <c r="AG430" s="25">
        <v>160</v>
      </c>
      <c r="AH430" s="25">
        <v>21</v>
      </c>
      <c r="AI430" s="12">
        <v>3.8</v>
      </c>
      <c r="AJ430" s="25">
        <v>57541</v>
      </c>
      <c r="AK430" s="25">
        <v>4738</v>
      </c>
      <c r="AL430" s="33">
        <v>8.9700000000000002E-2</v>
      </c>
      <c r="AM430" s="3" t="s">
        <v>2435</v>
      </c>
      <c r="AN430" s="12" t="s">
        <v>155</v>
      </c>
      <c r="AO430" s="12" t="s">
        <v>155</v>
      </c>
      <c r="AP430" s="12" t="str">
        <f>"175517589160635"</f>
        <v>175517589160635</v>
      </c>
      <c r="AQ430" s="12" t="s">
        <v>1588</v>
      </c>
      <c r="AR430" s="12" t="s">
        <v>1589</v>
      </c>
      <c r="AS430" s="12" t="s">
        <v>6466</v>
      </c>
      <c r="AT430" s="12"/>
      <c r="AU430" s="12" t="s">
        <v>324</v>
      </c>
      <c r="AV430" s="12" t="s">
        <v>5731</v>
      </c>
      <c r="AW430" s="12"/>
      <c r="AX430" s="12">
        <v>49</v>
      </c>
      <c r="AY430" s="12">
        <v>731</v>
      </c>
      <c r="AZ430" s="12">
        <v>49</v>
      </c>
      <c r="BA430" s="12" t="s">
        <v>1590</v>
      </c>
      <c r="BB430" s="12" t="s">
        <v>6467</v>
      </c>
      <c r="BC430" s="12" t="s">
        <v>6468</v>
      </c>
      <c r="BD430" s="12"/>
      <c r="BE430" s="12" t="s">
        <v>2291</v>
      </c>
      <c r="BF430" s="12"/>
      <c r="BG430" s="12"/>
      <c r="BH430" s="12"/>
      <c r="BI430" s="12"/>
      <c r="BJ430" s="12" t="s">
        <v>2436</v>
      </c>
      <c r="BK430" s="12" t="s">
        <v>6469</v>
      </c>
      <c r="BL430" s="12" t="s">
        <v>2292</v>
      </c>
      <c r="BM430" s="12" t="s">
        <v>2292</v>
      </c>
      <c r="BN430" s="12" t="s">
        <v>2292</v>
      </c>
      <c r="BO430" s="12" t="s">
        <v>2292</v>
      </c>
      <c r="BP430" s="12" t="s">
        <v>2437</v>
      </c>
      <c r="BQ430" s="12"/>
      <c r="BR430" s="12"/>
      <c r="BS430" s="12"/>
      <c r="BT430" s="12" t="s">
        <v>1591</v>
      </c>
      <c r="BU430" s="12" t="s">
        <v>326</v>
      </c>
      <c r="BV430" s="12" t="s">
        <v>2438</v>
      </c>
      <c r="BW430" s="12" t="s">
        <v>6470</v>
      </c>
      <c r="BX430" s="12"/>
      <c r="BY430" s="13" t="s">
        <v>313</v>
      </c>
      <c r="BZ430" s="13" t="s">
        <v>6172</v>
      </c>
      <c r="CA430" s="13" t="s">
        <v>6170</v>
      </c>
      <c r="CB430" s="13" t="s">
        <v>6199</v>
      </c>
      <c r="CC430" s="13"/>
      <c r="CD430" s="13" t="s">
        <v>6198</v>
      </c>
      <c r="CE430" s="13"/>
      <c r="CF430" s="13"/>
    </row>
    <row r="431" spans="1:84" ht="18.600000000000001" customHeight="1" x14ac:dyDescent="0.25">
      <c r="A431" s="60" t="s">
        <v>154</v>
      </c>
      <c r="B431" s="2" t="s">
        <v>315</v>
      </c>
      <c r="C431" s="10" t="s">
        <v>4780</v>
      </c>
      <c r="D431" s="12" t="s">
        <v>3175</v>
      </c>
      <c r="E431" s="12" t="s">
        <v>3175</v>
      </c>
      <c r="F431" s="12" t="s">
        <v>4789</v>
      </c>
      <c r="G431" s="25">
        <v>65825</v>
      </c>
      <c r="H431" s="25">
        <v>41837</v>
      </c>
      <c r="I431" s="25">
        <v>8959</v>
      </c>
      <c r="J431" s="25">
        <v>8550</v>
      </c>
      <c r="K431" s="25">
        <v>1547899</v>
      </c>
      <c r="L431" s="25">
        <v>604066</v>
      </c>
      <c r="M431" s="25">
        <v>2151965</v>
      </c>
      <c r="N431" s="31">
        <v>0.72</v>
      </c>
      <c r="O431" s="25">
        <v>23747</v>
      </c>
      <c r="P431" s="25">
        <v>325850</v>
      </c>
      <c r="Q431" s="25">
        <v>5778</v>
      </c>
      <c r="R431" s="25">
        <v>207</v>
      </c>
      <c r="S431" s="25">
        <v>276</v>
      </c>
      <c r="T431" s="25">
        <v>67</v>
      </c>
      <c r="U431" s="61">
        <v>151</v>
      </c>
      <c r="V431" s="58">
        <v>7.7999999999999996E-3</v>
      </c>
      <c r="W431" s="33">
        <v>3.0999999999999999E-3</v>
      </c>
      <c r="X431" s="33">
        <v>8.0000000000000004E-4</v>
      </c>
      <c r="Y431" s="33">
        <v>5.9999999999999995E-4</v>
      </c>
      <c r="Z431" s="33">
        <v>1.5900000000000001E-2</v>
      </c>
      <c r="AA431" s="33">
        <v>4.0000000000000002E-4</v>
      </c>
      <c r="AB431" s="25">
        <v>385</v>
      </c>
      <c r="AC431" s="25">
        <v>182</v>
      </c>
      <c r="AD431" s="25">
        <v>5</v>
      </c>
      <c r="AE431" s="25">
        <v>11</v>
      </c>
      <c r="AF431" s="25">
        <v>145</v>
      </c>
      <c r="AG431" s="25">
        <v>37</v>
      </c>
      <c r="AH431" s="25">
        <v>5</v>
      </c>
      <c r="AI431" s="12">
        <v>0.88</v>
      </c>
      <c r="AJ431" s="25">
        <v>26135</v>
      </c>
      <c r="AK431" s="25">
        <v>7204</v>
      </c>
      <c r="AL431" s="33">
        <v>0.3805</v>
      </c>
      <c r="AM431" s="10" t="s">
        <v>4780</v>
      </c>
      <c r="AN431" s="12" t="s">
        <v>3175</v>
      </c>
      <c r="AO431" s="12" t="s">
        <v>3175</v>
      </c>
      <c r="AP431" s="12" t="str">
        <f>"735396419870282"</f>
        <v>735396419870282</v>
      </c>
      <c r="AQ431" s="12" t="s">
        <v>3175</v>
      </c>
      <c r="AR431" s="12" t="s">
        <v>4834</v>
      </c>
      <c r="AS431" s="12" t="s">
        <v>4835</v>
      </c>
      <c r="AT431" s="12"/>
      <c r="AU431" s="12" t="s">
        <v>324</v>
      </c>
      <c r="AV431" s="12" t="s">
        <v>5731</v>
      </c>
      <c r="AW431" s="12"/>
      <c r="AX431" s="12">
        <v>21</v>
      </c>
      <c r="AY431" s="12">
        <v>1284</v>
      </c>
      <c r="AZ431" s="12">
        <v>21</v>
      </c>
      <c r="BA431" s="12" t="s">
        <v>4836</v>
      </c>
      <c r="BB431" s="12" t="s">
        <v>6793</v>
      </c>
      <c r="BC431" s="12" t="s">
        <v>6794</v>
      </c>
      <c r="BD431" s="12"/>
      <c r="BE431" s="12" t="s">
        <v>2291</v>
      </c>
      <c r="BF431" s="12"/>
      <c r="BG431" s="12"/>
      <c r="BH431" s="12"/>
      <c r="BI431" s="12"/>
      <c r="BJ431" s="12"/>
      <c r="BK431" s="12"/>
      <c r="BL431" s="12" t="s">
        <v>2292</v>
      </c>
      <c r="BM431" s="12" t="s">
        <v>2292</v>
      </c>
      <c r="BN431" s="12" t="s">
        <v>2292</v>
      </c>
      <c r="BO431" s="12" t="s">
        <v>2291</v>
      </c>
      <c r="BP431" s="12"/>
      <c r="BQ431" s="12"/>
      <c r="BR431" s="12"/>
      <c r="BS431" s="12"/>
      <c r="BT431" s="12"/>
      <c r="BU431" s="12" t="s">
        <v>326</v>
      </c>
      <c r="BV431" s="12"/>
      <c r="BW431" s="12" t="s">
        <v>4837</v>
      </c>
      <c r="BX431" s="12"/>
      <c r="BY431" s="13" t="s">
        <v>313</v>
      </c>
      <c r="BZ431" s="13" t="s">
        <v>6170</v>
      </c>
      <c r="CA431" s="13" t="s">
        <v>6170</v>
      </c>
      <c r="CB431" s="13" t="s">
        <v>312</v>
      </c>
      <c r="CC431" s="13"/>
      <c r="CD431" s="13" t="s">
        <v>6198</v>
      </c>
      <c r="CE431" s="13"/>
      <c r="CF431" s="13"/>
    </row>
    <row r="432" spans="1:84" ht="18.600000000000001" customHeight="1" x14ac:dyDescent="0.25">
      <c r="A432" s="62" t="s">
        <v>154</v>
      </c>
      <c r="B432" s="2" t="s">
        <v>5036</v>
      </c>
      <c r="C432" s="10" t="s">
        <v>5037</v>
      </c>
      <c r="D432" s="12" t="s">
        <v>5035</v>
      </c>
      <c r="E432" s="12" t="s">
        <v>5082</v>
      </c>
      <c r="F432" s="12" t="s">
        <v>5083</v>
      </c>
      <c r="G432" s="25">
        <v>171775</v>
      </c>
      <c r="H432" s="25">
        <v>150751</v>
      </c>
      <c r="I432" s="25">
        <v>6296</v>
      </c>
      <c r="J432" s="25">
        <v>11627</v>
      </c>
      <c r="K432" s="25">
        <v>1688058</v>
      </c>
      <c r="L432" s="25">
        <v>212780</v>
      </c>
      <c r="M432" s="25">
        <v>1900838</v>
      </c>
      <c r="N432" s="31">
        <v>0.89</v>
      </c>
      <c r="O432" s="25">
        <v>90253</v>
      </c>
      <c r="P432" s="25">
        <v>62992</v>
      </c>
      <c r="Q432" s="25">
        <v>2199</v>
      </c>
      <c r="R432" s="25">
        <v>280</v>
      </c>
      <c r="S432" s="25">
        <v>207</v>
      </c>
      <c r="T432" s="25">
        <v>283</v>
      </c>
      <c r="U432" s="61">
        <v>131</v>
      </c>
      <c r="V432" s="58">
        <v>5.0000000000000001E-3</v>
      </c>
      <c r="W432" s="33">
        <v>5.3E-3</v>
      </c>
      <c r="X432" s="33">
        <v>5.3E-3</v>
      </c>
      <c r="Y432" s="33">
        <v>7.9000000000000008E-3</v>
      </c>
      <c r="Z432" s="33">
        <v>9.7999999999999997E-3</v>
      </c>
      <c r="AA432" s="33">
        <v>1.2999999999999999E-3</v>
      </c>
      <c r="AB432" s="25">
        <v>1496</v>
      </c>
      <c r="AC432" s="25">
        <v>845</v>
      </c>
      <c r="AD432" s="25">
        <v>270</v>
      </c>
      <c r="AE432" s="25">
        <v>20</v>
      </c>
      <c r="AF432" s="25">
        <v>216</v>
      </c>
      <c r="AG432" s="25">
        <v>109</v>
      </c>
      <c r="AH432" s="25">
        <v>36</v>
      </c>
      <c r="AI432" s="12">
        <v>3.41</v>
      </c>
      <c r="AJ432" s="25">
        <v>25259</v>
      </c>
      <c r="AK432" s="25">
        <v>12162</v>
      </c>
      <c r="AL432" s="33">
        <v>0.92859999999999998</v>
      </c>
      <c r="AM432" s="10" t="s">
        <v>5037</v>
      </c>
      <c r="AN432" s="12" t="s">
        <v>5082</v>
      </c>
      <c r="AO432" s="12" t="s">
        <v>5082</v>
      </c>
      <c r="AP432" s="12" t="str">
        <f>"1409371249362597"</f>
        <v>1409371249362597</v>
      </c>
      <c r="AQ432" s="12" t="s">
        <v>5035</v>
      </c>
      <c r="AR432" s="12" t="s">
        <v>5216</v>
      </c>
      <c r="AS432" s="12" t="s">
        <v>5217</v>
      </c>
      <c r="AT432" s="12"/>
      <c r="AU432" s="12" t="s">
        <v>309</v>
      </c>
      <c r="AV432" s="12"/>
      <c r="AW432" s="12"/>
      <c r="AX432" s="12">
        <v>0</v>
      </c>
      <c r="AY432" s="12">
        <v>575</v>
      </c>
      <c r="AZ432" s="12">
        <v>0</v>
      </c>
      <c r="BA432" s="12" t="s">
        <v>5218</v>
      </c>
      <c r="BB432" s="12" t="s">
        <v>6259</v>
      </c>
      <c r="BC432" s="12" t="s">
        <v>6260</v>
      </c>
      <c r="BD432" s="12" t="s">
        <v>1586</v>
      </c>
      <c r="BE432" s="12" t="s">
        <v>2291</v>
      </c>
      <c r="BF432" s="12"/>
      <c r="BG432" s="12"/>
      <c r="BH432" s="12"/>
      <c r="BI432" s="12" t="s">
        <v>5219</v>
      </c>
      <c r="BJ432" s="12"/>
      <c r="BK432" s="12"/>
      <c r="BL432" s="12" t="s">
        <v>2292</v>
      </c>
      <c r="BM432" s="12" t="s">
        <v>2292</v>
      </c>
      <c r="BN432" s="12" t="s">
        <v>2292</v>
      </c>
      <c r="BO432" s="12" t="s">
        <v>2291</v>
      </c>
      <c r="BP432" s="12"/>
      <c r="BQ432" s="12"/>
      <c r="BR432" s="12"/>
      <c r="BS432" s="12"/>
      <c r="BT432" s="12" t="s">
        <v>5733</v>
      </c>
      <c r="BU432" s="12"/>
      <c r="BV432" s="12"/>
      <c r="BW432" s="12" t="s">
        <v>5220</v>
      </c>
      <c r="BX432" s="12"/>
      <c r="BY432" s="13" t="s">
        <v>313</v>
      </c>
      <c r="BZ432" s="13" t="s">
        <v>312</v>
      </c>
      <c r="CA432" s="13" t="s">
        <v>6170</v>
      </c>
      <c r="CB432" s="13" t="s">
        <v>6200</v>
      </c>
      <c r="CC432" s="13"/>
      <c r="CD432" s="13" t="s">
        <v>6198</v>
      </c>
      <c r="CE432" s="13"/>
      <c r="CF432" s="13"/>
    </row>
    <row r="433" spans="1:84" ht="18.600000000000001" customHeight="1" x14ac:dyDescent="0.25">
      <c r="A433" s="60" t="s">
        <v>156</v>
      </c>
      <c r="B433" s="2" t="s">
        <v>4677</v>
      </c>
      <c r="C433" s="3" t="s">
        <v>4679</v>
      </c>
      <c r="D433" s="12" t="s">
        <v>4676</v>
      </c>
      <c r="E433" s="12" t="s">
        <v>4681</v>
      </c>
      <c r="F433" s="12" t="s">
        <v>4748</v>
      </c>
      <c r="G433" s="25">
        <v>500731</v>
      </c>
      <c r="H433" s="25">
        <v>385375</v>
      </c>
      <c r="I433" s="25">
        <v>31212</v>
      </c>
      <c r="J433" s="25">
        <v>42349</v>
      </c>
      <c r="K433" s="25">
        <v>393346</v>
      </c>
      <c r="L433" s="25">
        <v>100689</v>
      </c>
      <c r="M433" s="25">
        <v>494035</v>
      </c>
      <c r="N433" s="31">
        <v>0.8</v>
      </c>
      <c r="O433" s="25">
        <v>9043</v>
      </c>
      <c r="P433" s="25">
        <v>0</v>
      </c>
      <c r="Q433" s="25">
        <v>24741</v>
      </c>
      <c r="R433" s="25">
        <v>1032</v>
      </c>
      <c r="S433" s="25">
        <v>7562</v>
      </c>
      <c r="T433" s="25">
        <v>1521</v>
      </c>
      <c r="U433" s="61">
        <v>6934</v>
      </c>
      <c r="V433" s="58">
        <v>5.8999999999999999E-3</v>
      </c>
      <c r="W433" s="33">
        <v>5.8999999999999999E-3</v>
      </c>
      <c r="X433" s="33">
        <v>3.8E-3</v>
      </c>
      <c r="Y433" s="33">
        <v>5.8999999999999999E-3</v>
      </c>
      <c r="Z433" s="33">
        <v>1.54E-2</v>
      </c>
      <c r="AA433" s="33">
        <v>4.5999999999999999E-3</v>
      </c>
      <c r="AB433" s="25">
        <v>1230</v>
      </c>
      <c r="AC433" s="25">
        <v>899</v>
      </c>
      <c r="AD433" s="25">
        <v>153</v>
      </c>
      <c r="AE433" s="25">
        <v>28</v>
      </c>
      <c r="AF433" s="25">
        <v>16</v>
      </c>
      <c r="AG433" s="25">
        <v>4</v>
      </c>
      <c r="AH433" s="25">
        <v>130</v>
      </c>
      <c r="AI433" s="12">
        <v>2.8</v>
      </c>
      <c r="AJ433" s="25">
        <v>104650</v>
      </c>
      <c r="AK433" s="25">
        <v>64131</v>
      </c>
      <c r="AL433" s="33">
        <v>1.5827</v>
      </c>
      <c r="AM433" s="3" t="s">
        <v>4679</v>
      </c>
      <c r="AN433" s="12" t="s">
        <v>4681</v>
      </c>
      <c r="AO433" s="12" t="s">
        <v>4681</v>
      </c>
      <c r="AP433" s="12" t="str">
        <f>"1402324713341752"</f>
        <v>1402324713341752</v>
      </c>
      <c r="AQ433" s="12" t="s">
        <v>4676</v>
      </c>
      <c r="AR433" s="12" t="s">
        <v>4682</v>
      </c>
      <c r="AS433" s="12" t="s">
        <v>4838</v>
      </c>
      <c r="AT433" s="12" t="s">
        <v>4683</v>
      </c>
      <c r="AU433" s="12" t="s">
        <v>309</v>
      </c>
      <c r="AV433" s="12"/>
      <c r="AW433" s="12"/>
      <c r="AX433" s="12">
        <v>0</v>
      </c>
      <c r="AY433" s="12">
        <v>4913</v>
      </c>
      <c r="AZ433" s="12">
        <v>0</v>
      </c>
      <c r="BA433" s="12" t="s">
        <v>4678</v>
      </c>
      <c r="BB433" s="12"/>
      <c r="BC433" s="12" t="s">
        <v>6465</v>
      </c>
      <c r="BD433" s="12"/>
      <c r="BE433" s="12" t="s">
        <v>2291</v>
      </c>
      <c r="BF433" s="12"/>
      <c r="BG433" s="12"/>
      <c r="BH433" s="12"/>
      <c r="BI433" s="12"/>
      <c r="BJ433" s="12"/>
      <c r="BK433" s="12"/>
      <c r="BL433" s="12" t="s">
        <v>2292</v>
      </c>
      <c r="BM433" s="12" t="s">
        <v>2292</v>
      </c>
      <c r="BN433" s="12" t="s">
        <v>2292</v>
      </c>
      <c r="BO433" s="12" t="s">
        <v>2291</v>
      </c>
      <c r="BP433" s="12"/>
      <c r="BQ433" s="12"/>
      <c r="BR433" s="12"/>
      <c r="BS433" s="12"/>
      <c r="BT433" s="12"/>
      <c r="BU433" s="12"/>
      <c r="BV433" s="12"/>
      <c r="BW433" s="12"/>
      <c r="BX433" s="12"/>
      <c r="BY433" s="13" t="s">
        <v>313</v>
      </c>
      <c r="BZ433" s="13" t="s">
        <v>6170</v>
      </c>
      <c r="CA433" s="13" t="s">
        <v>6170</v>
      </c>
      <c r="CB433" s="13" t="s">
        <v>6201</v>
      </c>
      <c r="CC433" s="13"/>
      <c r="CD433" s="13" t="s">
        <v>6198</v>
      </c>
      <c r="CE433" s="13"/>
      <c r="CF433" s="13"/>
    </row>
    <row r="434" spans="1:84" ht="18.600000000000001" customHeight="1" x14ac:dyDescent="0.25">
      <c r="A434" s="35" t="s">
        <v>156</v>
      </c>
      <c r="B434" s="13" t="s">
        <v>315</v>
      </c>
      <c r="C434" s="3" t="s">
        <v>3893</v>
      </c>
      <c r="D434" s="12" t="s">
        <v>1593</v>
      </c>
      <c r="E434" s="12" t="s">
        <v>3535</v>
      </c>
      <c r="F434" s="12" t="s">
        <v>3979</v>
      </c>
      <c r="G434" s="25">
        <v>4466</v>
      </c>
      <c r="H434" s="25">
        <v>3419</v>
      </c>
      <c r="I434" s="25">
        <v>25</v>
      </c>
      <c r="J434" s="25">
        <v>990</v>
      </c>
      <c r="K434" s="25">
        <v>7282</v>
      </c>
      <c r="L434" s="25">
        <v>7861</v>
      </c>
      <c r="M434" s="25">
        <v>15143</v>
      </c>
      <c r="N434" s="31">
        <v>0.48</v>
      </c>
      <c r="O434" s="25">
        <v>443</v>
      </c>
      <c r="P434" s="25">
        <v>0</v>
      </c>
      <c r="Q434" s="25">
        <v>18</v>
      </c>
      <c r="R434" s="25">
        <v>7</v>
      </c>
      <c r="S434" s="25">
        <v>3</v>
      </c>
      <c r="T434" s="25">
        <v>0</v>
      </c>
      <c r="U434" s="61">
        <v>4</v>
      </c>
      <c r="V434" s="58">
        <v>4.1999999999999997E-3</v>
      </c>
      <c r="W434" s="33">
        <v>4.1000000000000003E-3</v>
      </c>
      <c r="X434" s="33">
        <v>3.5000000000000001E-3</v>
      </c>
      <c r="Y434" s="12" t="s">
        <v>3926</v>
      </c>
      <c r="Z434" s="33">
        <v>1.47E-2</v>
      </c>
      <c r="AA434" s="12" t="s">
        <v>3926</v>
      </c>
      <c r="AB434" s="25">
        <v>157</v>
      </c>
      <c r="AC434" s="25">
        <v>86</v>
      </c>
      <c r="AD434" s="25">
        <v>61</v>
      </c>
      <c r="AE434" s="25">
        <v>0</v>
      </c>
      <c r="AF434" s="25">
        <v>8</v>
      </c>
      <c r="AG434" s="25">
        <v>2</v>
      </c>
      <c r="AH434" s="25">
        <v>0</v>
      </c>
      <c r="AI434" s="12">
        <v>0.36</v>
      </c>
      <c r="AJ434" s="25">
        <v>7045</v>
      </c>
      <c r="AK434" s="25">
        <v>860</v>
      </c>
      <c r="AL434" s="33">
        <v>0.13900000000000001</v>
      </c>
      <c r="AM434" s="3" t="s">
        <v>3893</v>
      </c>
      <c r="AN434" s="12" t="s">
        <v>3535</v>
      </c>
      <c r="AO434" s="12" t="s">
        <v>3535</v>
      </c>
      <c r="AP434" s="12" t="str">
        <f>"221774737965548"</f>
        <v>221774737965548</v>
      </c>
      <c r="AQ434" s="12" t="s">
        <v>1593</v>
      </c>
      <c r="AR434" s="12" t="s">
        <v>1599</v>
      </c>
      <c r="AS434" s="12" t="s">
        <v>1594</v>
      </c>
      <c r="AT434" s="12"/>
      <c r="AU434" s="12" t="s">
        <v>324</v>
      </c>
      <c r="AV434" s="12" t="s">
        <v>5767</v>
      </c>
      <c r="AW434" s="12"/>
      <c r="AX434" s="12">
        <v>287</v>
      </c>
      <c r="AY434" s="12">
        <v>86</v>
      </c>
      <c r="AZ434" s="12">
        <v>0</v>
      </c>
      <c r="BA434" s="12" t="s">
        <v>3536</v>
      </c>
      <c r="BB434" s="12" t="s">
        <v>6381</v>
      </c>
      <c r="BC434" s="12" t="s">
        <v>6382</v>
      </c>
      <c r="BD434" s="12"/>
      <c r="BE434" s="12" t="s">
        <v>2291</v>
      </c>
      <c r="BF434" s="12"/>
      <c r="BG434" s="12"/>
      <c r="BH434" s="12"/>
      <c r="BI434" s="12" t="s">
        <v>1595</v>
      </c>
      <c r="BJ434" s="12"/>
      <c r="BK434" s="12"/>
      <c r="BL434" s="12" t="s">
        <v>2292</v>
      </c>
      <c r="BM434" s="12" t="s">
        <v>2292</v>
      </c>
      <c r="BN434" s="12" t="s">
        <v>2292</v>
      </c>
      <c r="BO434" s="12" t="s">
        <v>2291</v>
      </c>
      <c r="BP434" s="12" t="s">
        <v>2378</v>
      </c>
      <c r="BQ434" s="12"/>
      <c r="BR434" s="12"/>
      <c r="BS434" s="12"/>
      <c r="BT434" s="12" t="s">
        <v>5247</v>
      </c>
      <c r="BU434" s="12" t="s">
        <v>326</v>
      </c>
      <c r="BV434" s="12"/>
      <c r="BW434" s="12" t="s">
        <v>1596</v>
      </c>
      <c r="BX434" s="12"/>
      <c r="BY434" s="13" t="s">
        <v>313</v>
      </c>
      <c r="BZ434" s="13" t="s">
        <v>6170</v>
      </c>
      <c r="CA434" s="13" t="s">
        <v>6170</v>
      </c>
      <c r="CB434" s="13" t="s">
        <v>312</v>
      </c>
      <c r="CC434" s="13"/>
      <c r="CD434" s="13" t="s">
        <v>6198</v>
      </c>
      <c r="CE434" s="13"/>
      <c r="CF434" s="13"/>
    </row>
    <row r="435" spans="1:84" ht="18.600000000000001" customHeight="1" x14ac:dyDescent="0.25">
      <c r="A435" s="60" t="s">
        <v>156</v>
      </c>
      <c r="B435" s="2" t="s">
        <v>3157</v>
      </c>
      <c r="C435" s="3" t="s">
        <v>3710</v>
      </c>
      <c r="D435" s="12" t="s">
        <v>3178</v>
      </c>
      <c r="E435" s="12" t="s">
        <v>3289</v>
      </c>
      <c r="F435" s="12" t="s">
        <v>4263</v>
      </c>
      <c r="G435" s="25">
        <v>155943</v>
      </c>
      <c r="H435" s="25">
        <v>129904</v>
      </c>
      <c r="I435" s="25">
        <v>5665</v>
      </c>
      <c r="J435" s="25">
        <v>12294</v>
      </c>
      <c r="K435" s="25">
        <v>304497</v>
      </c>
      <c r="L435" s="25">
        <v>66909</v>
      </c>
      <c r="M435" s="25">
        <v>371406</v>
      </c>
      <c r="N435" s="31">
        <v>0.82</v>
      </c>
      <c r="O435" s="25">
        <v>14758</v>
      </c>
      <c r="P435" s="25">
        <v>0</v>
      </c>
      <c r="Q435" s="25">
        <v>2226</v>
      </c>
      <c r="R435" s="25">
        <v>507</v>
      </c>
      <c r="S435" s="25">
        <v>1935</v>
      </c>
      <c r="T435" s="25">
        <v>656</v>
      </c>
      <c r="U435" s="61">
        <v>2756</v>
      </c>
      <c r="V435" s="58">
        <v>5.0200000000000002E-2</v>
      </c>
      <c r="W435" s="33">
        <v>5.21E-2</v>
      </c>
      <c r="X435" s="33">
        <v>3.2500000000000001E-2</v>
      </c>
      <c r="Y435" s="33">
        <v>3.85E-2</v>
      </c>
      <c r="Z435" s="33">
        <v>5.3800000000000001E-2</v>
      </c>
      <c r="AA435" s="12" t="s">
        <v>3926</v>
      </c>
      <c r="AB435" s="25">
        <v>203</v>
      </c>
      <c r="AC435" s="25">
        <v>156</v>
      </c>
      <c r="AD435" s="25">
        <v>16</v>
      </c>
      <c r="AE435" s="25">
        <v>17</v>
      </c>
      <c r="AF435" s="25">
        <v>10</v>
      </c>
      <c r="AG435" s="25">
        <v>4</v>
      </c>
      <c r="AH435" s="25">
        <v>0</v>
      </c>
      <c r="AI435" s="12">
        <v>0.46</v>
      </c>
      <c r="AJ435" s="25">
        <v>23506</v>
      </c>
      <c r="AK435" s="25">
        <v>15660</v>
      </c>
      <c r="AL435" s="33">
        <v>1.9959</v>
      </c>
      <c r="AM435" s="3" t="s">
        <v>3710</v>
      </c>
      <c r="AN435" s="12" t="s">
        <v>3289</v>
      </c>
      <c r="AO435" s="12" t="s">
        <v>3289</v>
      </c>
      <c r="AP435" s="12" t="str">
        <f>"848041401873852"</f>
        <v>848041401873852</v>
      </c>
      <c r="AQ435" s="12" t="s">
        <v>3178</v>
      </c>
      <c r="AR435" s="12" t="s">
        <v>1599</v>
      </c>
      <c r="AS435" s="12" t="s">
        <v>3290</v>
      </c>
      <c r="AT435" s="12" t="s">
        <v>3291</v>
      </c>
      <c r="AU435" s="12" t="s">
        <v>319</v>
      </c>
      <c r="AV435" s="12"/>
      <c r="AW435" s="12"/>
      <c r="AX435" s="12">
        <v>0</v>
      </c>
      <c r="AY435" s="12">
        <v>2325</v>
      </c>
      <c r="AZ435" s="12">
        <v>0</v>
      </c>
      <c r="BA435" s="12" t="s">
        <v>3292</v>
      </c>
      <c r="BB435" s="12" t="s">
        <v>5953</v>
      </c>
      <c r="BC435" s="12" t="s">
        <v>7018</v>
      </c>
      <c r="BD435" s="12" t="s">
        <v>3293</v>
      </c>
      <c r="BE435" s="12" t="s">
        <v>2291</v>
      </c>
      <c r="BF435" s="12"/>
      <c r="BG435" s="12"/>
      <c r="BH435" s="12"/>
      <c r="BI435" s="12"/>
      <c r="BJ435" s="12"/>
      <c r="BK435" s="12"/>
      <c r="BL435" s="12" t="s">
        <v>2292</v>
      </c>
      <c r="BM435" s="12" t="s">
        <v>2292</v>
      </c>
      <c r="BN435" s="12" t="s">
        <v>2292</v>
      </c>
      <c r="BO435" s="12" t="s">
        <v>2292</v>
      </c>
      <c r="BP435" s="12"/>
      <c r="BQ435" s="12"/>
      <c r="BR435" s="12"/>
      <c r="BS435" s="12"/>
      <c r="BT435" s="12"/>
      <c r="BU435" s="12"/>
      <c r="BV435" s="12"/>
      <c r="BW435" s="12" t="s">
        <v>1592</v>
      </c>
      <c r="BX435" s="12"/>
      <c r="BY435" s="13" t="s">
        <v>313</v>
      </c>
      <c r="BZ435" s="13" t="s">
        <v>6173</v>
      </c>
      <c r="CA435" s="13" t="s">
        <v>6170</v>
      </c>
      <c r="CB435" s="13" t="s">
        <v>6197</v>
      </c>
      <c r="CC435" s="13"/>
      <c r="CD435" s="13" t="s">
        <v>6198</v>
      </c>
      <c r="CE435" s="13" t="s">
        <v>6175</v>
      </c>
      <c r="CF435" s="13"/>
    </row>
    <row r="436" spans="1:84" ht="18.600000000000001" customHeight="1" x14ac:dyDescent="0.25">
      <c r="A436" s="60" t="s">
        <v>156</v>
      </c>
      <c r="B436" s="2" t="s">
        <v>315</v>
      </c>
      <c r="C436" s="3" t="s">
        <v>2561</v>
      </c>
      <c r="D436" s="12" t="s">
        <v>1598</v>
      </c>
      <c r="E436" s="12" t="s">
        <v>1597</v>
      </c>
      <c r="F436" s="12" t="s">
        <v>4095</v>
      </c>
      <c r="G436" s="25">
        <v>84567</v>
      </c>
      <c r="H436" s="25">
        <v>63790</v>
      </c>
      <c r="I436" s="25">
        <v>2067</v>
      </c>
      <c r="J436" s="25">
        <v>16868</v>
      </c>
      <c r="K436" s="25">
        <v>1053298</v>
      </c>
      <c r="L436" s="25">
        <v>928332</v>
      </c>
      <c r="M436" s="25">
        <v>1981630</v>
      </c>
      <c r="N436" s="31">
        <v>0.53</v>
      </c>
      <c r="O436" s="25">
        <v>2814</v>
      </c>
      <c r="P436" s="25">
        <v>0</v>
      </c>
      <c r="Q436" s="25">
        <v>535</v>
      </c>
      <c r="R436" s="25">
        <v>143</v>
      </c>
      <c r="S436" s="25">
        <v>579</v>
      </c>
      <c r="T436" s="25">
        <v>151</v>
      </c>
      <c r="U436" s="61">
        <v>434</v>
      </c>
      <c r="V436" s="58">
        <v>2.7000000000000001E-3</v>
      </c>
      <c r="W436" s="33">
        <v>3.3E-3</v>
      </c>
      <c r="X436" s="33">
        <v>1.4E-3</v>
      </c>
      <c r="Y436" s="33">
        <v>1.1999999999999999E-3</v>
      </c>
      <c r="Z436" s="33">
        <v>7.4000000000000003E-3</v>
      </c>
      <c r="AA436" s="33">
        <v>5.9999999999999995E-4</v>
      </c>
      <c r="AB436" s="25">
        <v>1204</v>
      </c>
      <c r="AC436" s="25">
        <v>520</v>
      </c>
      <c r="AD436" s="25">
        <v>560</v>
      </c>
      <c r="AE436" s="25">
        <v>13</v>
      </c>
      <c r="AF436" s="25">
        <v>96</v>
      </c>
      <c r="AG436" s="25">
        <v>5</v>
      </c>
      <c r="AH436" s="25">
        <v>10</v>
      </c>
      <c r="AI436" s="12">
        <v>2.74</v>
      </c>
      <c r="AJ436" s="25">
        <v>28400</v>
      </c>
      <c r="AK436" s="25">
        <v>4598</v>
      </c>
      <c r="AL436" s="33">
        <v>0.19320000000000001</v>
      </c>
      <c r="AM436" s="3" t="s">
        <v>2561</v>
      </c>
      <c r="AN436" s="12" t="s">
        <v>1597</v>
      </c>
      <c r="AO436" s="12" t="s">
        <v>1597</v>
      </c>
      <c r="AP436" s="12" t="str">
        <f>"319803971471711"</f>
        <v>319803971471711</v>
      </c>
      <c r="AQ436" s="12" t="s">
        <v>1598</v>
      </c>
      <c r="AR436" s="12" t="s">
        <v>1599</v>
      </c>
      <c r="AS436" s="12" t="s">
        <v>2562</v>
      </c>
      <c r="AT436" s="12"/>
      <c r="AU436" s="12" t="s">
        <v>324</v>
      </c>
      <c r="AV436" s="12"/>
      <c r="AW436" s="12"/>
      <c r="AX436" s="12">
        <v>0</v>
      </c>
      <c r="AY436" s="12">
        <v>1086</v>
      </c>
      <c r="AZ436" s="12">
        <v>0</v>
      </c>
      <c r="BA436" s="12" t="s">
        <v>1600</v>
      </c>
      <c r="BB436" s="12"/>
      <c r="BC436" s="12" t="s">
        <v>6635</v>
      </c>
      <c r="BD436" s="12"/>
      <c r="BE436" s="12" t="s">
        <v>2291</v>
      </c>
      <c r="BF436" s="12"/>
      <c r="BG436" s="12"/>
      <c r="BH436" s="12"/>
      <c r="BI436" s="12"/>
      <c r="BJ436" s="12"/>
      <c r="BK436" s="12"/>
      <c r="BL436" s="12" t="s">
        <v>2292</v>
      </c>
      <c r="BM436" s="12" t="s">
        <v>2292</v>
      </c>
      <c r="BN436" s="12" t="s">
        <v>2292</v>
      </c>
      <c r="BO436" s="12" t="s">
        <v>2291</v>
      </c>
      <c r="BP436" s="12"/>
      <c r="BQ436" s="12"/>
      <c r="BR436" s="12"/>
      <c r="BS436" s="12"/>
      <c r="BT436" s="12"/>
      <c r="BU436" s="12"/>
      <c r="BV436" s="12"/>
      <c r="BW436" s="12"/>
      <c r="BX436" s="12"/>
      <c r="BY436" s="13" t="s">
        <v>313</v>
      </c>
      <c r="BZ436" s="13" t="s">
        <v>6170</v>
      </c>
      <c r="CA436" s="13" t="s">
        <v>6170</v>
      </c>
      <c r="CB436" s="13" t="s">
        <v>6197</v>
      </c>
      <c r="CC436" s="13"/>
      <c r="CD436" s="13" t="s">
        <v>6198</v>
      </c>
      <c r="CE436" s="13"/>
      <c r="CF436" s="13"/>
    </row>
    <row r="437" spans="1:84" ht="18.600000000000001" customHeight="1" x14ac:dyDescent="0.25">
      <c r="A437" s="60" t="s">
        <v>156</v>
      </c>
      <c r="B437" s="2" t="s">
        <v>315</v>
      </c>
      <c r="C437" s="4" t="s">
        <v>3878</v>
      </c>
      <c r="D437" s="12" t="s">
        <v>4026</v>
      </c>
      <c r="E437" s="12" t="s">
        <v>4027</v>
      </c>
      <c r="F437" s="12" t="s">
        <v>4028</v>
      </c>
      <c r="G437" s="25">
        <v>1971</v>
      </c>
      <c r="H437" s="25">
        <v>1295</v>
      </c>
      <c r="I437" s="25">
        <v>21</v>
      </c>
      <c r="J437" s="25">
        <v>615</v>
      </c>
      <c r="K437" s="25">
        <v>1388</v>
      </c>
      <c r="L437" s="25">
        <v>1568</v>
      </c>
      <c r="M437" s="25">
        <v>2956</v>
      </c>
      <c r="N437" s="31">
        <v>0.47</v>
      </c>
      <c r="O437" s="25">
        <v>1445</v>
      </c>
      <c r="P437" s="25">
        <v>0</v>
      </c>
      <c r="Q437" s="25">
        <v>37</v>
      </c>
      <c r="R437" s="25">
        <v>0</v>
      </c>
      <c r="S437" s="25">
        <v>1</v>
      </c>
      <c r="T437" s="25">
        <v>1</v>
      </c>
      <c r="U437" s="61">
        <v>1</v>
      </c>
      <c r="V437" s="58">
        <v>1.2999999999999999E-3</v>
      </c>
      <c r="W437" s="33">
        <v>1.4E-3</v>
      </c>
      <c r="X437" s="33">
        <v>1.1000000000000001E-3</v>
      </c>
      <c r="Y437" s="33">
        <v>2.0000000000000001E-4</v>
      </c>
      <c r="Z437" s="33">
        <v>1.4E-3</v>
      </c>
      <c r="AA437" s="33">
        <v>1.1999999999999999E-3</v>
      </c>
      <c r="AB437" s="25">
        <v>140</v>
      </c>
      <c r="AC437" s="25">
        <v>81</v>
      </c>
      <c r="AD437" s="25">
        <v>34</v>
      </c>
      <c r="AE437" s="25">
        <v>1</v>
      </c>
      <c r="AF437" s="25">
        <v>9</v>
      </c>
      <c r="AG437" s="25">
        <v>7</v>
      </c>
      <c r="AH437" s="25">
        <v>8</v>
      </c>
      <c r="AI437" s="12">
        <v>0.32</v>
      </c>
      <c r="AJ437" s="25">
        <v>11034</v>
      </c>
      <c r="AK437" s="25">
        <v>292</v>
      </c>
      <c r="AL437" s="33">
        <v>2.7199999999999998E-2</v>
      </c>
      <c r="AM437" s="4" t="s">
        <v>3878</v>
      </c>
      <c r="AN437" s="12" t="s">
        <v>4027</v>
      </c>
      <c r="AO437" s="12" t="s">
        <v>4027</v>
      </c>
      <c r="AP437" s="12" t="str">
        <f>"110656565663239"</f>
        <v>110656565663239</v>
      </c>
      <c r="AQ437" s="12" t="s">
        <v>4026</v>
      </c>
      <c r="AR437" s="12" t="s">
        <v>4532</v>
      </c>
      <c r="AS437" s="12" t="s">
        <v>4533</v>
      </c>
      <c r="AT437" s="12"/>
      <c r="AU437" s="12" t="s">
        <v>324</v>
      </c>
      <c r="AV437" s="12" t="s">
        <v>5731</v>
      </c>
      <c r="AW437" s="12"/>
      <c r="AX437" s="12">
        <v>4</v>
      </c>
      <c r="AY437" s="12">
        <v>54</v>
      </c>
      <c r="AZ437" s="12">
        <v>4</v>
      </c>
      <c r="BA437" s="12" t="s">
        <v>4534</v>
      </c>
      <c r="BB437" s="12" t="s">
        <v>6492</v>
      </c>
      <c r="BC437" s="12" t="s">
        <v>6493</v>
      </c>
      <c r="BD437" s="12"/>
      <c r="BE437" s="12" t="s">
        <v>2291</v>
      </c>
      <c r="BF437" s="12"/>
      <c r="BG437" s="12"/>
      <c r="BH437" s="12"/>
      <c r="BI437" s="12" t="s">
        <v>4533</v>
      </c>
      <c r="BJ437" s="12" t="s">
        <v>4535</v>
      </c>
      <c r="BK437" s="12"/>
      <c r="BL437" s="12" t="s">
        <v>2292</v>
      </c>
      <c r="BM437" s="12" t="s">
        <v>2292</v>
      </c>
      <c r="BN437" s="12" t="s">
        <v>2292</v>
      </c>
      <c r="BO437" s="12" t="s">
        <v>2291</v>
      </c>
      <c r="BP437" s="12" t="s">
        <v>4536</v>
      </c>
      <c r="BQ437" s="12"/>
      <c r="BR437" s="12"/>
      <c r="BS437" s="12"/>
      <c r="BT437" s="12" t="s">
        <v>5266</v>
      </c>
      <c r="BU437" s="12" t="s">
        <v>326</v>
      </c>
      <c r="BV437" s="12" t="s">
        <v>4537</v>
      </c>
      <c r="BW437" s="12" t="s">
        <v>5267</v>
      </c>
      <c r="BX437" s="12"/>
      <c r="BY437" s="13" t="s">
        <v>313</v>
      </c>
      <c r="BZ437" s="13" t="s">
        <v>6177</v>
      </c>
      <c r="CA437" s="13" t="s">
        <v>6170</v>
      </c>
      <c r="CB437" s="13" t="s">
        <v>6201</v>
      </c>
      <c r="CC437" s="13"/>
      <c r="CD437" s="13" t="s">
        <v>6198</v>
      </c>
      <c r="CE437" s="13"/>
      <c r="CF437" s="13"/>
    </row>
    <row r="438" spans="1:84" ht="18.600000000000001" customHeight="1" x14ac:dyDescent="0.25">
      <c r="A438" s="60" t="s">
        <v>156</v>
      </c>
      <c r="B438" s="2" t="s">
        <v>5716</v>
      </c>
      <c r="C438" s="4" t="s">
        <v>5725</v>
      </c>
      <c r="D438" s="12" t="s">
        <v>6043</v>
      </c>
      <c r="E438" s="12" t="s">
        <v>6042</v>
      </c>
      <c r="F438" s="3" t="s">
        <v>6087</v>
      </c>
      <c r="G438" s="25">
        <v>3975</v>
      </c>
      <c r="H438" s="25">
        <v>3527</v>
      </c>
      <c r="I438" s="25">
        <v>93</v>
      </c>
      <c r="J438" s="25">
        <v>192</v>
      </c>
      <c r="K438" s="25">
        <v>924</v>
      </c>
      <c r="L438" s="25">
        <v>2625</v>
      </c>
      <c r="M438" s="25">
        <v>3549</v>
      </c>
      <c r="N438" s="31">
        <v>0.26</v>
      </c>
      <c r="O438" s="25">
        <v>306</v>
      </c>
      <c r="P438" s="25">
        <v>0</v>
      </c>
      <c r="Q438" s="25">
        <v>46</v>
      </c>
      <c r="R438" s="25">
        <v>6</v>
      </c>
      <c r="S438" s="25">
        <v>76</v>
      </c>
      <c r="T438" s="25">
        <v>9</v>
      </c>
      <c r="U438" s="61">
        <v>26</v>
      </c>
      <c r="V438" s="58">
        <v>7.2300000000000003E-2</v>
      </c>
      <c r="W438" s="33">
        <v>5.7000000000000002E-2</v>
      </c>
      <c r="X438" s="33">
        <v>0.19600000000000001</v>
      </c>
      <c r="Y438" s="12" t="s">
        <v>3926</v>
      </c>
      <c r="Z438" s="33">
        <v>5.6399999999999999E-2</v>
      </c>
      <c r="AA438" s="12" t="s">
        <v>3926</v>
      </c>
      <c r="AB438" s="25">
        <v>79</v>
      </c>
      <c r="AC438" s="25">
        <v>62</v>
      </c>
      <c r="AD438" s="25">
        <v>9</v>
      </c>
      <c r="AE438" s="25">
        <v>0</v>
      </c>
      <c r="AF438" s="25">
        <v>7</v>
      </c>
      <c r="AG438" s="25">
        <v>1</v>
      </c>
      <c r="AH438" s="25">
        <v>0</v>
      </c>
      <c r="AI438" s="12">
        <v>0.18</v>
      </c>
      <c r="AJ438" s="25">
        <v>1224</v>
      </c>
      <c r="AK438" s="25">
        <v>0</v>
      </c>
      <c r="AL438" s="31">
        <v>0</v>
      </c>
      <c r="AM438" s="4" t="s">
        <v>5725</v>
      </c>
      <c r="AN438" s="12" t="s">
        <v>6042</v>
      </c>
      <c r="AO438" s="12" t="s">
        <v>6042</v>
      </c>
      <c r="AP438" s="12" t="str">
        <f>"1910787798948873"</f>
        <v>1910787798948873</v>
      </c>
      <c r="AQ438" s="12" t="s">
        <v>6043</v>
      </c>
      <c r="AR438" s="12" t="s">
        <v>6044</v>
      </c>
      <c r="AS438" s="12" t="s">
        <v>6045</v>
      </c>
      <c r="AT438" s="12"/>
      <c r="AU438" s="12" t="s">
        <v>424</v>
      </c>
      <c r="AV438" s="12"/>
      <c r="AW438" s="12"/>
      <c r="AX438" s="12">
        <v>0</v>
      </c>
      <c r="AY438" s="12">
        <v>497</v>
      </c>
      <c r="AZ438" s="12">
        <v>0</v>
      </c>
      <c r="BA438" s="12" t="s">
        <v>6046</v>
      </c>
      <c r="BB438" s="12"/>
      <c r="BC438" s="12" t="s">
        <v>7311</v>
      </c>
      <c r="BD438" s="12"/>
      <c r="BE438" s="12" t="s">
        <v>2291</v>
      </c>
      <c r="BF438" s="12"/>
      <c r="BG438" s="12"/>
      <c r="BH438" s="12"/>
      <c r="BI438" s="12"/>
      <c r="BJ438" s="12"/>
      <c r="BK438" s="12"/>
      <c r="BL438" s="12" t="s">
        <v>2292</v>
      </c>
      <c r="BM438" s="12" t="s">
        <v>2292</v>
      </c>
      <c r="BN438" s="12" t="s">
        <v>2292</v>
      </c>
      <c r="BO438" s="12" t="s">
        <v>2292</v>
      </c>
      <c r="BP438" s="12"/>
      <c r="BQ438" s="12"/>
      <c r="BR438" s="12"/>
      <c r="BS438" s="12"/>
      <c r="BT438" s="12"/>
      <c r="BU438" s="12"/>
      <c r="BV438" s="12"/>
      <c r="BW438" s="12"/>
      <c r="BX438" s="12"/>
      <c r="BY438" s="13" t="s">
        <v>313</v>
      </c>
      <c r="BZ438" s="13" t="s">
        <v>6170</v>
      </c>
      <c r="CA438" s="13" t="s">
        <v>6170</v>
      </c>
      <c r="CB438" s="13" t="s">
        <v>6202</v>
      </c>
      <c r="CC438" s="13"/>
      <c r="CD438" s="13" t="s">
        <v>6198</v>
      </c>
      <c r="CE438" s="13"/>
      <c r="CF438" s="13"/>
    </row>
    <row r="439" spans="1:84" ht="18.600000000000001" customHeight="1" x14ac:dyDescent="0.25">
      <c r="A439" s="60" t="s">
        <v>156</v>
      </c>
      <c r="B439" s="2" t="s">
        <v>335</v>
      </c>
      <c r="C439" s="3" t="s">
        <v>2670</v>
      </c>
      <c r="D439" s="12" t="s">
        <v>4788</v>
      </c>
      <c r="E439" s="12" t="s">
        <v>1601</v>
      </c>
      <c r="F439" s="12" t="s">
        <v>4158</v>
      </c>
      <c r="G439" s="25">
        <v>20147</v>
      </c>
      <c r="H439" s="25">
        <v>17143</v>
      </c>
      <c r="I439" s="25">
        <v>203</v>
      </c>
      <c r="J439" s="25">
        <v>2474</v>
      </c>
      <c r="K439" s="25">
        <v>16743</v>
      </c>
      <c r="L439" s="25">
        <v>12482</v>
      </c>
      <c r="M439" s="25">
        <v>29225</v>
      </c>
      <c r="N439" s="31">
        <v>0.56999999999999995</v>
      </c>
      <c r="O439" s="25">
        <v>12916</v>
      </c>
      <c r="P439" s="25">
        <v>599</v>
      </c>
      <c r="Q439" s="25">
        <v>241</v>
      </c>
      <c r="R439" s="25">
        <v>12</v>
      </c>
      <c r="S439" s="25">
        <v>17</v>
      </c>
      <c r="T439" s="25">
        <v>47</v>
      </c>
      <c r="U439" s="61">
        <v>10</v>
      </c>
      <c r="V439" s="58">
        <v>1E-3</v>
      </c>
      <c r="W439" s="33">
        <v>1E-3</v>
      </c>
      <c r="X439" s="33">
        <v>8.9999999999999998E-4</v>
      </c>
      <c r="Y439" s="33">
        <v>4.0000000000000002E-4</v>
      </c>
      <c r="Z439" s="33">
        <v>2E-3</v>
      </c>
      <c r="AA439" s="33">
        <v>8.9999999999999998E-4</v>
      </c>
      <c r="AB439" s="25">
        <v>882</v>
      </c>
      <c r="AC439" s="25">
        <v>700</v>
      </c>
      <c r="AD439" s="25">
        <v>107</v>
      </c>
      <c r="AE439" s="25">
        <v>9</v>
      </c>
      <c r="AF439" s="25">
        <v>23</v>
      </c>
      <c r="AG439" s="25">
        <v>27</v>
      </c>
      <c r="AH439" s="25">
        <v>16</v>
      </c>
      <c r="AI439" s="12">
        <v>2.0099999999999998</v>
      </c>
      <c r="AJ439" s="25">
        <v>21919</v>
      </c>
      <c r="AK439" s="25">
        <v>716</v>
      </c>
      <c r="AL439" s="33">
        <v>3.3799999999999997E-2</v>
      </c>
      <c r="AM439" s="3" t="s">
        <v>2670</v>
      </c>
      <c r="AN439" s="12" t="s">
        <v>1601</v>
      </c>
      <c r="AO439" s="12" t="s">
        <v>1601</v>
      </c>
      <c r="AP439" s="12" t="str">
        <f>"165419960194263"</f>
        <v>165419960194263</v>
      </c>
      <c r="AQ439" s="12" t="s">
        <v>4788</v>
      </c>
      <c r="AR439" s="12" t="s">
        <v>3780</v>
      </c>
      <c r="AS439" s="12" t="s">
        <v>3781</v>
      </c>
      <c r="AT439" s="12"/>
      <c r="AU439" s="12" t="s">
        <v>324</v>
      </c>
      <c r="AV439" s="12" t="s">
        <v>5731</v>
      </c>
      <c r="AW439" s="12" t="s">
        <v>4691</v>
      </c>
      <c r="AX439" s="12">
        <v>328</v>
      </c>
      <c r="AY439" s="12">
        <v>153</v>
      </c>
      <c r="AZ439" s="12">
        <v>328</v>
      </c>
      <c r="BA439" s="12" t="s">
        <v>1602</v>
      </c>
      <c r="BB439" s="12" t="s">
        <v>6785</v>
      </c>
      <c r="BC439" s="12" t="s">
        <v>6786</v>
      </c>
      <c r="BD439" s="12"/>
      <c r="BE439" s="12" t="s">
        <v>2291</v>
      </c>
      <c r="BF439" s="12"/>
      <c r="BG439" s="12"/>
      <c r="BH439" s="12"/>
      <c r="BI439" s="12" t="s">
        <v>4692</v>
      </c>
      <c r="BJ439" s="12"/>
      <c r="BK439" s="12" t="s">
        <v>6448</v>
      </c>
      <c r="BL439" s="12" t="s">
        <v>2292</v>
      </c>
      <c r="BM439" s="12" t="s">
        <v>2292</v>
      </c>
      <c r="BN439" s="12" t="s">
        <v>2292</v>
      </c>
      <c r="BO439" s="12" t="s">
        <v>2291</v>
      </c>
      <c r="BP439" s="12" t="s">
        <v>4693</v>
      </c>
      <c r="BQ439" s="12"/>
      <c r="BR439" s="12"/>
      <c r="BS439" s="12"/>
      <c r="BT439" s="12">
        <v>37322578205</v>
      </c>
      <c r="BU439" s="12" t="s">
        <v>326</v>
      </c>
      <c r="BV439" s="12"/>
      <c r="BW439" s="12" t="s">
        <v>1603</v>
      </c>
      <c r="BX439" s="12"/>
      <c r="BY439" s="13" t="s">
        <v>313</v>
      </c>
      <c r="BZ439" s="13" t="s">
        <v>6170</v>
      </c>
      <c r="CA439" s="13" t="s">
        <v>6170</v>
      </c>
      <c r="CB439" s="13" t="s">
        <v>6202</v>
      </c>
      <c r="CC439" s="13" t="s">
        <v>6187</v>
      </c>
      <c r="CD439" s="13" t="s">
        <v>6195</v>
      </c>
      <c r="CE439" s="13"/>
      <c r="CF439" s="13"/>
    </row>
    <row r="440" spans="1:84" ht="18.600000000000001" customHeight="1" x14ac:dyDescent="0.25">
      <c r="A440" s="60" t="s">
        <v>157</v>
      </c>
      <c r="B440" s="2" t="s">
        <v>1609</v>
      </c>
      <c r="C440" s="3" t="s">
        <v>2838</v>
      </c>
      <c r="D440" s="12" t="s">
        <v>1604</v>
      </c>
      <c r="E440" s="12" t="s">
        <v>158</v>
      </c>
      <c r="F440" s="12" t="s">
        <v>4254</v>
      </c>
      <c r="G440" s="25">
        <v>330181</v>
      </c>
      <c r="H440" s="25">
        <v>240897</v>
      </c>
      <c r="I440" s="25">
        <v>12570</v>
      </c>
      <c r="J440" s="25">
        <v>40839</v>
      </c>
      <c r="K440" s="25">
        <v>476158</v>
      </c>
      <c r="L440" s="25">
        <v>587439</v>
      </c>
      <c r="M440" s="25">
        <v>1063597</v>
      </c>
      <c r="N440" s="31">
        <v>0.45</v>
      </c>
      <c r="O440" s="25">
        <v>44123</v>
      </c>
      <c r="P440" s="25">
        <v>169320</v>
      </c>
      <c r="Q440" s="25">
        <v>31729</v>
      </c>
      <c r="R440" s="25">
        <v>2222</v>
      </c>
      <c r="S440" s="25">
        <v>270</v>
      </c>
      <c r="T440" s="25">
        <v>1493</v>
      </c>
      <c r="U440" s="61">
        <v>101</v>
      </c>
      <c r="V440" s="58">
        <v>7.7000000000000002E-3</v>
      </c>
      <c r="W440" s="33">
        <v>7.1000000000000004E-3</v>
      </c>
      <c r="X440" s="12" t="s">
        <v>3926</v>
      </c>
      <c r="Y440" s="33">
        <v>1.6999999999999999E-3</v>
      </c>
      <c r="Z440" s="33">
        <v>1.34E-2</v>
      </c>
      <c r="AA440" s="12" t="s">
        <v>3926</v>
      </c>
      <c r="AB440" s="25">
        <v>175</v>
      </c>
      <c r="AC440" s="25">
        <v>153</v>
      </c>
      <c r="AD440" s="25">
        <v>0</v>
      </c>
      <c r="AE440" s="25">
        <v>2</v>
      </c>
      <c r="AF440" s="25">
        <v>18</v>
      </c>
      <c r="AG440" s="25">
        <v>2</v>
      </c>
      <c r="AH440" s="25">
        <v>0</v>
      </c>
      <c r="AI440" s="12">
        <v>0.4</v>
      </c>
      <c r="AJ440" s="25">
        <v>249999</v>
      </c>
      <c r="AK440" s="25">
        <v>11260</v>
      </c>
      <c r="AL440" s="33">
        <v>4.7199999999999999E-2</v>
      </c>
      <c r="AM440" s="3" t="s">
        <v>2838</v>
      </c>
      <c r="AN440" s="12" t="s">
        <v>158</v>
      </c>
      <c r="AO440" s="12" t="s">
        <v>158</v>
      </c>
      <c r="AP440" s="12" t="str">
        <f>"286449344700945"</f>
        <v>286449344700945</v>
      </c>
      <c r="AQ440" s="12" t="s">
        <v>1604</v>
      </c>
      <c r="AR440" s="12" t="s">
        <v>1605</v>
      </c>
      <c r="AS440" s="12" t="s">
        <v>2839</v>
      </c>
      <c r="AT440" s="12" t="s">
        <v>1606</v>
      </c>
      <c r="AU440" s="12" t="s">
        <v>815</v>
      </c>
      <c r="AV440" s="12"/>
      <c r="AW440" s="12"/>
      <c r="AX440" s="12">
        <v>0</v>
      </c>
      <c r="AY440" s="12">
        <v>1147</v>
      </c>
      <c r="AZ440" s="12">
        <v>0</v>
      </c>
      <c r="BA440" s="12" t="s">
        <v>1607</v>
      </c>
      <c r="BB440" s="12" t="s">
        <v>7006</v>
      </c>
      <c r="BC440" s="12" t="s">
        <v>7007</v>
      </c>
      <c r="BD440" s="12"/>
      <c r="BE440" s="12" t="s">
        <v>2291</v>
      </c>
      <c r="BF440" s="12"/>
      <c r="BG440" s="12"/>
      <c r="BH440" s="12"/>
      <c r="BI440" s="12"/>
      <c r="BJ440" s="12"/>
      <c r="BK440" s="12"/>
      <c r="BL440" s="12" t="s">
        <v>2292</v>
      </c>
      <c r="BM440" s="12" t="s">
        <v>2292</v>
      </c>
      <c r="BN440" s="12" t="s">
        <v>2292</v>
      </c>
      <c r="BO440" s="12" t="s">
        <v>2291</v>
      </c>
      <c r="BP440" s="12"/>
      <c r="BQ440" s="12"/>
      <c r="BR440" s="12"/>
      <c r="BS440" s="12"/>
      <c r="BT440" s="12"/>
      <c r="BU440" s="12"/>
      <c r="BV440" s="12"/>
      <c r="BW440" s="12" t="s">
        <v>1608</v>
      </c>
      <c r="BX440" s="12"/>
      <c r="BY440" s="13" t="s">
        <v>313</v>
      </c>
      <c r="BZ440" s="13" t="s">
        <v>6170</v>
      </c>
      <c r="CA440" s="13" t="s">
        <v>6170</v>
      </c>
      <c r="CB440" s="13" t="s">
        <v>6200</v>
      </c>
      <c r="CC440" s="13"/>
      <c r="CD440" s="13" t="s">
        <v>6198</v>
      </c>
      <c r="CE440" s="13"/>
      <c r="CF440" s="13"/>
    </row>
    <row r="441" spans="1:84" ht="18.600000000000001" customHeight="1" x14ac:dyDescent="0.25">
      <c r="A441" s="60" t="s">
        <v>157</v>
      </c>
      <c r="B441" s="2" t="s">
        <v>315</v>
      </c>
      <c r="C441" s="3" t="s">
        <v>2563</v>
      </c>
      <c r="D441" s="12" t="s">
        <v>1610</v>
      </c>
      <c r="E441" s="12" t="s">
        <v>159</v>
      </c>
      <c r="F441" s="12" t="s">
        <v>4096</v>
      </c>
      <c r="G441" s="25">
        <v>44814</v>
      </c>
      <c r="H441" s="25">
        <v>33422</v>
      </c>
      <c r="I441" s="25">
        <v>1474</v>
      </c>
      <c r="J441" s="25">
        <v>7327</v>
      </c>
      <c r="K441" s="25">
        <v>154399</v>
      </c>
      <c r="L441" s="25">
        <v>77962</v>
      </c>
      <c r="M441" s="25">
        <v>232361</v>
      </c>
      <c r="N441" s="31">
        <v>0.66</v>
      </c>
      <c r="O441" s="25">
        <v>97445</v>
      </c>
      <c r="P441" s="25">
        <v>0</v>
      </c>
      <c r="Q441" s="25">
        <v>1905</v>
      </c>
      <c r="R441" s="25">
        <v>287</v>
      </c>
      <c r="S441" s="25">
        <v>48</v>
      </c>
      <c r="T441" s="25">
        <v>196</v>
      </c>
      <c r="U441" s="61">
        <v>153</v>
      </c>
      <c r="V441" s="58">
        <v>2.3999999999999998E-3</v>
      </c>
      <c r="W441" s="33">
        <v>2.7000000000000001E-3</v>
      </c>
      <c r="X441" s="33">
        <v>2E-3</v>
      </c>
      <c r="Y441" s="33">
        <v>2.2000000000000001E-3</v>
      </c>
      <c r="Z441" s="33">
        <v>3.0999999999999999E-3</v>
      </c>
      <c r="AA441" s="33">
        <v>1.4E-3</v>
      </c>
      <c r="AB441" s="25">
        <v>753</v>
      </c>
      <c r="AC441" s="25">
        <v>380</v>
      </c>
      <c r="AD441" s="25">
        <v>82</v>
      </c>
      <c r="AE441" s="25">
        <v>89</v>
      </c>
      <c r="AF441" s="25">
        <v>106</v>
      </c>
      <c r="AG441" s="25">
        <v>94</v>
      </c>
      <c r="AH441" s="25">
        <v>2</v>
      </c>
      <c r="AI441" s="12">
        <v>1.72</v>
      </c>
      <c r="AJ441" s="25">
        <v>26393</v>
      </c>
      <c r="AK441" s="25">
        <v>5371</v>
      </c>
      <c r="AL441" s="33">
        <v>0.2555</v>
      </c>
      <c r="AM441" s="3" t="s">
        <v>2563</v>
      </c>
      <c r="AN441" s="12" t="s">
        <v>159</v>
      </c>
      <c r="AO441" s="12" t="s">
        <v>159</v>
      </c>
      <c r="AP441" s="12" t="str">
        <f>"1441586412798994"</f>
        <v>1441586412798994</v>
      </c>
      <c r="AQ441" s="12" t="s">
        <v>1610</v>
      </c>
      <c r="AR441" s="12" t="s">
        <v>1611</v>
      </c>
      <c r="AS441" s="12" t="s">
        <v>2564</v>
      </c>
      <c r="AT441" s="12"/>
      <c r="AU441" s="12" t="s">
        <v>324</v>
      </c>
      <c r="AV441" s="12"/>
      <c r="AW441" s="12"/>
      <c r="AX441" s="12">
        <v>0</v>
      </c>
      <c r="AY441" s="12">
        <v>2730</v>
      </c>
      <c r="AZ441" s="12">
        <v>0</v>
      </c>
      <c r="BA441" s="12" t="s">
        <v>1612</v>
      </c>
      <c r="BB441" s="12"/>
      <c r="BC441" s="12" t="s">
        <v>6636</v>
      </c>
      <c r="BD441" s="12"/>
      <c r="BE441" s="12" t="s">
        <v>2291</v>
      </c>
      <c r="BF441" s="12"/>
      <c r="BG441" s="12"/>
      <c r="BH441" s="12"/>
      <c r="BI441" s="12" t="s">
        <v>2565</v>
      </c>
      <c r="BJ441" s="12"/>
      <c r="BK441" s="12"/>
      <c r="BL441" s="12" t="s">
        <v>2292</v>
      </c>
      <c r="BM441" s="12" t="s">
        <v>2292</v>
      </c>
      <c r="BN441" s="12" t="s">
        <v>2292</v>
      </c>
      <c r="BO441" s="12" t="s">
        <v>2291</v>
      </c>
      <c r="BP441" s="12"/>
      <c r="BQ441" s="12"/>
      <c r="BR441" s="12"/>
      <c r="BS441" s="12"/>
      <c r="BT441" s="12"/>
      <c r="BU441" s="12"/>
      <c r="BV441" s="12"/>
      <c r="BW441" s="12"/>
      <c r="BX441" s="12"/>
      <c r="BY441" s="13" t="s">
        <v>313</v>
      </c>
      <c r="BZ441" s="13" t="s">
        <v>6174</v>
      </c>
      <c r="CA441" s="13"/>
      <c r="CB441" s="13"/>
      <c r="CC441" s="13"/>
      <c r="CD441" s="13"/>
      <c r="CE441" s="13"/>
      <c r="CF441" s="13"/>
    </row>
    <row r="442" spans="1:84" ht="18.600000000000001" customHeight="1" x14ac:dyDescent="0.25">
      <c r="A442" s="60" t="s">
        <v>160</v>
      </c>
      <c r="B442" s="2" t="s">
        <v>802</v>
      </c>
      <c r="C442" s="3" t="s">
        <v>2574</v>
      </c>
      <c r="D442" s="12" t="s">
        <v>1614</v>
      </c>
      <c r="E442" s="12" t="s">
        <v>1613</v>
      </c>
      <c r="F442" s="12" t="s">
        <v>4102</v>
      </c>
      <c r="G442" s="25">
        <v>835299</v>
      </c>
      <c r="H442" s="25">
        <v>651387</v>
      </c>
      <c r="I442" s="25">
        <v>49078</v>
      </c>
      <c r="J442" s="25">
        <v>38600</v>
      </c>
      <c r="K442" s="25">
        <v>1451965</v>
      </c>
      <c r="L442" s="25">
        <v>712955</v>
      </c>
      <c r="M442" s="25">
        <v>2164920</v>
      </c>
      <c r="N442" s="31">
        <v>0.67</v>
      </c>
      <c r="O442" s="25">
        <v>214038</v>
      </c>
      <c r="P442" s="25">
        <v>534950</v>
      </c>
      <c r="Q442" s="25">
        <v>81845</v>
      </c>
      <c r="R442" s="25">
        <v>1516</v>
      </c>
      <c r="S442" s="25">
        <v>1455</v>
      </c>
      <c r="T442" s="25">
        <v>10566</v>
      </c>
      <c r="U442" s="61">
        <v>808</v>
      </c>
      <c r="V442" s="58">
        <v>8.6999999999999994E-3</v>
      </c>
      <c r="W442" s="33">
        <v>8.3999999999999995E-3</v>
      </c>
      <c r="X442" s="33">
        <v>1.04E-2</v>
      </c>
      <c r="Y442" s="33">
        <v>4.1999999999999997E-3</v>
      </c>
      <c r="Z442" s="33">
        <v>2.4199999999999999E-2</v>
      </c>
      <c r="AA442" s="33">
        <v>3.0999999999999999E-3</v>
      </c>
      <c r="AB442" s="25">
        <v>332</v>
      </c>
      <c r="AC442" s="25">
        <v>288</v>
      </c>
      <c r="AD442" s="25">
        <v>15</v>
      </c>
      <c r="AE442" s="25">
        <v>7</v>
      </c>
      <c r="AF442" s="25">
        <v>13</v>
      </c>
      <c r="AG442" s="25">
        <v>6</v>
      </c>
      <c r="AH442" s="25">
        <v>3</v>
      </c>
      <c r="AI442" s="12">
        <v>0.76</v>
      </c>
      <c r="AJ442" s="25">
        <v>297219</v>
      </c>
      <c r="AK442" s="25">
        <v>26196</v>
      </c>
      <c r="AL442" s="33">
        <v>9.6699999999999994E-2</v>
      </c>
      <c r="AM442" s="3" t="s">
        <v>2574</v>
      </c>
      <c r="AN442" s="12" t="s">
        <v>1613</v>
      </c>
      <c r="AO442" s="12" t="s">
        <v>1613</v>
      </c>
      <c r="AP442" s="12" t="str">
        <f>"280838772065151"</f>
        <v>280838772065151</v>
      </c>
      <c r="AQ442" s="12" t="s">
        <v>1614</v>
      </c>
      <c r="AR442" s="12" t="s">
        <v>1615</v>
      </c>
      <c r="AS442" s="12" t="s">
        <v>2575</v>
      </c>
      <c r="AT442" s="12"/>
      <c r="AU442" s="12" t="s">
        <v>324</v>
      </c>
      <c r="AV442" s="12"/>
      <c r="AW442" s="12"/>
      <c r="AX442" s="12">
        <v>0</v>
      </c>
      <c r="AY442" s="12">
        <v>10628</v>
      </c>
      <c r="AZ442" s="12">
        <v>0</v>
      </c>
      <c r="BA442" s="12" t="s">
        <v>257</v>
      </c>
      <c r="BB442" s="12"/>
      <c r="BC442" s="12" t="s">
        <v>6652</v>
      </c>
      <c r="BD442" s="12"/>
      <c r="BE442" s="12" t="s">
        <v>2291</v>
      </c>
      <c r="BF442" s="12"/>
      <c r="BG442" s="12"/>
      <c r="BH442" s="12"/>
      <c r="BI442" s="12" t="s">
        <v>2576</v>
      </c>
      <c r="BJ442" s="12" t="s">
        <v>2577</v>
      </c>
      <c r="BK442" s="12"/>
      <c r="BL442" s="12" t="s">
        <v>2292</v>
      </c>
      <c r="BM442" s="12" t="s">
        <v>2292</v>
      </c>
      <c r="BN442" s="12" t="s">
        <v>2292</v>
      </c>
      <c r="BO442" s="12" t="s">
        <v>2291</v>
      </c>
      <c r="BP442" s="12"/>
      <c r="BQ442" s="12"/>
      <c r="BR442" s="12"/>
      <c r="BS442" s="12"/>
      <c r="BT442" s="12"/>
      <c r="BU442" s="12"/>
      <c r="BV442" s="12"/>
      <c r="BW442" s="12"/>
      <c r="BX442" s="12"/>
      <c r="BY442" s="13" t="s">
        <v>313</v>
      </c>
      <c r="BZ442" s="13" t="s">
        <v>312</v>
      </c>
      <c r="CA442" s="13"/>
      <c r="CB442" s="13"/>
      <c r="CC442" s="13"/>
      <c r="CD442" s="13"/>
      <c r="CE442" s="13"/>
      <c r="CF442" s="13"/>
    </row>
    <row r="443" spans="1:84" ht="18.600000000000001" customHeight="1" x14ac:dyDescent="0.25">
      <c r="A443" s="60" t="s">
        <v>160</v>
      </c>
      <c r="B443" s="2" t="s">
        <v>1620</v>
      </c>
      <c r="C443" s="3" t="s">
        <v>2748</v>
      </c>
      <c r="D443" s="12" t="s">
        <v>1616</v>
      </c>
      <c r="E443" s="12" t="s">
        <v>1617</v>
      </c>
      <c r="F443" s="12" t="s">
        <v>4198</v>
      </c>
      <c r="G443" s="25">
        <v>232731</v>
      </c>
      <c r="H443" s="25">
        <v>151602</v>
      </c>
      <c r="I443" s="25">
        <v>43009</v>
      </c>
      <c r="J443" s="25">
        <v>10794</v>
      </c>
      <c r="K443" s="25">
        <v>623712</v>
      </c>
      <c r="L443" s="25">
        <v>220645</v>
      </c>
      <c r="M443" s="25">
        <v>844357</v>
      </c>
      <c r="N443" s="31">
        <v>0.74</v>
      </c>
      <c r="O443" s="25">
        <v>45310</v>
      </c>
      <c r="P443" s="25">
        <v>93970</v>
      </c>
      <c r="Q443" s="25">
        <v>13622</v>
      </c>
      <c r="R443" s="25">
        <v>943</v>
      </c>
      <c r="S443" s="25">
        <v>1018</v>
      </c>
      <c r="T443" s="25">
        <v>8946</v>
      </c>
      <c r="U443" s="61">
        <v>2792</v>
      </c>
      <c r="V443" s="58">
        <v>1.21E-2</v>
      </c>
      <c r="W443" s="33">
        <v>1.1299999999999999E-2</v>
      </c>
      <c r="X443" s="33">
        <v>3.0999999999999999E-3</v>
      </c>
      <c r="Y443" s="33">
        <v>1.9E-2</v>
      </c>
      <c r="Z443" s="33">
        <v>1.0200000000000001E-2</v>
      </c>
      <c r="AA443" s="12" t="s">
        <v>3926</v>
      </c>
      <c r="AB443" s="25">
        <v>201</v>
      </c>
      <c r="AC443" s="25">
        <v>121</v>
      </c>
      <c r="AD443" s="25">
        <v>3</v>
      </c>
      <c r="AE443" s="25">
        <v>37</v>
      </c>
      <c r="AF443" s="25">
        <v>39</v>
      </c>
      <c r="AG443" s="25">
        <v>1</v>
      </c>
      <c r="AH443" s="25">
        <v>0</v>
      </c>
      <c r="AI443" s="12">
        <v>0.46</v>
      </c>
      <c r="AJ443" s="25">
        <v>102925</v>
      </c>
      <c r="AK443" s="25">
        <v>20390</v>
      </c>
      <c r="AL443" s="33">
        <v>0.247</v>
      </c>
      <c r="AM443" s="3" t="s">
        <v>2748</v>
      </c>
      <c r="AN443" s="12" t="s">
        <v>1617</v>
      </c>
      <c r="AO443" s="12" t="s">
        <v>1617</v>
      </c>
      <c r="AP443" s="12" t="str">
        <f>"166039216791132"</f>
        <v>166039216791132</v>
      </c>
      <c r="AQ443" s="12" t="s">
        <v>1616</v>
      </c>
      <c r="AR443" s="12" t="s">
        <v>1618</v>
      </c>
      <c r="AS443" s="12" t="s">
        <v>2749</v>
      </c>
      <c r="AT443" s="12" t="s">
        <v>2750</v>
      </c>
      <c r="AU443" s="12" t="s">
        <v>424</v>
      </c>
      <c r="AV443" s="12"/>
      <c r="AW443" s="12"/>
      <c r="AX443" s="12">
        <v>0</v>
      </c>
      <c r="AY443" s="12">
        <v>1877</v>
      </c>
      <c r="AZ443" s="12">
        <v>0</v>
      </c>
      <c r="BA443" s="12" t="s">
        <v>1619</v>
      </c>
      <c r="BB443" s="12"/>
      <c r="BC443" s="12" t="s">
        <v>6895</v>
      </c>
      <c r="BD443" s="12"/>
      <c r="BE443" s="12" t="s">
        <v>2291</v>
      </c>
      <c r="BF443" s="12"/>
      <c r="BG443" s="12"/>
      <c r="BH443" s="12"/>
      <c r="BI443" s="12"/>
      <c r="BJ443" s="12"/>
      <c r="BK443" s="12"/>
      <c r="BL443" s="12" t="s">
        <v>2292</v>
      </c>
      <c r="BM443" s="12" t="s">
        <v>2292</v>
      </c>
      <c r="BN443" s="12" t="s">
        <v>2292</v>
      </c>
      <c r="BO443" s="12" t="s">
        <v>2291</v>
      </c>
      <c r="BP443" s="12"/>
      <c r="BQ443" s="12"/>
      <c r="BR443" s="12"/>
      <c r="BS443" s="12"/>
      <c r="BT443" s="12"/>
      <c r="BU443" s="12"/>
      <c r="BV443" s="12"/>
      <c r="BW443" s="12"/>
      <c r="BX443" s="12"/>
      <c r="BY443" s="13" t="s">
        <v>313</v>
      </c>
      <c r="BZ443" s="13" t="s">
        <v>312</v>
      </c>
      <c r="CA443" s="13"/>
      <c r="CB443" s="13"/>
      <c r="CC443" s="13"/>
      <c r="CD443" s="13"/>
      <c r="CE443" s="13"/>
      <c r="CF443" s="13" t="s">
        <v>6178</v>
      </c>
    </row>
    <row r="444" spans="1:84" ht="18.600000000000001" customHeight="1" x14ac:dyDescent="0.25">
      <c r="A444" s="60" t="s">
        <v>160</v>
      </c>
      <c r="B444" s="2" t="s">
        <v>335</v>
      </c>
      <c r="C444" s="20" t="s">
        <v>3862</v>
      </c>
      <c r="D444" s="12" t="s">
        <v>3192</v>
      </c>
      <c r="E444" s="12" t="s">
        <v>4195</v>
      </c>
      <c r="F444" s="12" t="s">
        <v>4196</v>
      </c>
      <c r="G444" s="25">
        <v>32183</v>
      </c>
      <c r="H444" s="25">
        <v>23950</v>
      </c>
      <c r="I444" s="25">
        <v>2129</v>
      </c>
      <c r="J444" s="25">
        <v>4653</v>
      </c>
      <c r="K444" s="25">
        <v>258793</v>
      </c>
      <c r="L444" s="25">
        <v>208594</v>
      </c>
      <c r="M444" s="25">
        <v>467387</v>
      </c>
      <c r="N444" s="31">
        <v>0.55000000000000004</v>
      </c>
      <c r="O444" s="25">
        <v>28036</v>
      </c>
      <c r="P444" s="25">
        <v>11844</v>
      </c>
      <c r="Q444" s="25">
        <v>1129</v>
      </c>
      <c r="R444" s="25">
        <v>127</v>
      </c>
      <c r="S444" s="25">
        <v>40</v>
      </c>
      <c r="T444" s="25">
        <v>137</v>
      </c>
      <c r="U444" s="61">
        <v>18</v>
      </c>
      <c r="V444" s="58">
        <v>7.1999999999999998E-3</v>
      </c>
      <c r="W444" s="33">
        <v>6.4999999999999997E-3</v>
      </c>
      <c r="X444" s="33">
        <v>6.4999999999999997E-3</v>
      </c>
      <c r="Y444" s="33">
        <v>4.0000000000000002E-4</v>
      </c>
      <c r="Z444" s="33">
        <v>1.0500000000000001E-2</v>
      </c>
      <c r="AA444" s="33">
        <v>3.3999999999999998E-3</v>
      </c>
      <c r="AB444" s="25">
        <v>379</v>
      </c>
      <c r="AC444" s="25">
        <v>196</v>
      </c>
      <c r="AD444" s="25">
        <v>57</v>
      </c>
      <c r="AE444" s="25">
        <v>1</v>
      </c>
      <c r="AF444" s="25">
        <v>96</v>
      </c>
      <c r="AG444" s="25">
        <v>16</v>
      </c>
      <c r="AH444" s="25">
        <v>13</v>
      </c>
      <c r="AI444" s="12">
        <v>0.86</v>
      </c>
      <c r="AJ444" s="25">
        <v>15813</v>
      </c>
      <c r="AK444" s="25">
        <v>9081</v>
      </c>
      <c r="AL444" s="33">
        <v>1.3489</v>
      </c>
      <c r="AM444" s="20" t="s">
        <v>3862</v>
      </c>
      <c r="AN444" s="12" t="s">
        <v>4195</v>
      </c>
      <c r="AO444" s="12" t="s">
        <v>4195</v>
      </c>
      <c r="AP444" s="12" t="str">
        <f>"1489571818020153"</f>
        <v>1489571818020153</v>
      </c>
      <c r="AQ444" s="12" t="s">
        <v>3192</v>
      </c>
      <c r="AR444" s="12" t="s">
        <v>4593</v>
      </c>
      <c r="AS444" s="12" t="s">
        <v>4594</v>
      </c>
      <c r="AT444" s="12"/>
      <c r="AU444" s="12" t="s">
        <v>324</v>
      </c>
      <c r="AV444" s="12" t="s">
        <v>5911</v>
      </c>
      <c r="AW444" s="12"/>
      <c r="AX444" s="12">
        <v>1535</v>
      </c>
      <c r="AY444" s="12">
        <v>546</v>
      </c>
      <c r="AZ444" s="12">
        <v>1535</v>
      </c>
      <c r="BA444" s="12" t="s">
        <v>4595</v>
      </c>
      <c r="BB444" s="12" t="s">
        <v>6890</v>
      </c>
      <c r="BC444" s="12" t="s">
        <v>6891</v>
      </c>
      <c r="BD444" s="12"/>
      <c r="BE444" s="12" t="s">
        <v>2291</v>
      </c>
      <c r="BF444" s="12"/>
      <c r="BG444" s="12"/>
      <c r="BH444" s="12"/>
      <c r="BI444" s="12" t="s">
        <v>5377</v>
      </c>
      <c r="BJ444" s="12" t="s">
        <v>4596</v>
      </c>
      <c r="BK444" s="12" t="s">
        <v>6892</v>
      </c>
      <c r="BL444" s="12" t="s">
        <v>2292</v>
      </c>
      <c r="BM444" s="12" t="s">
        <v>2292</v>
      </c>
      <c r="BN444" s="12" t="s">
        <v>2292</v>
      </c>
      <c r="BO444" s="12" t="s">
        <v>2291</v>
      </c>
      <c r="BP444" s="12"/>
      <c r="BQ444" s="12"/>
      <c r="BR444" s="12"/>
      <c r="BS444" s="12"/>
      <c r="BT444" s="12">
        <v>1400</v>
      </c>
      <c r="BU444" s="12" t="s">
        <v>326</v>
      </c>
      <c r="BV444" s="12"/>
      <c r="BW444" s="12" t="s">
        <v>5378</v>
      </c>
      <c r="BX444" s="12"/>
      <c r="BY444" s="13" t="s">
        <v>313</v>
      </c>
      <c r="BZ444" s="13" t="s">
        <v>6172</v>
      </c>
      <c r="CA444" s="13"/>
      <c r="CB444" s="13"/>
      <c r="CC444" s="13"/>
      <c r="CD444" s="13"/>
      <c r="CE444" s="13"/>
      <c r="CF444" s="13"/>
    </row>
    <row r="445" spans="1:84" ht="18.600000000000001" customHeight="1" x14ac:dyDescent="0.25">
      <c r="A445" s="60" t="s">
        <v>161</v>
      </c>
      <c r="B445" s="2" t="s">
        <v>802</v>
      </c>
      <c r="C445" s="3" t="s">
        <v>2653</v>
      </c>
      <c r="D445" s="12" t="s">
        <v>1621</v>
      </c>
      <c r="E445" s="12" t="s">
        <v>1621</v>
      </c>
      <c r="F445" s="12" t="s">
        <v>4142</v>
      </c>
      <c r="G445" s="25">
        <v>917388</v>
      </c>
      <c r="H445" s="25">
        <v>767780</v>
      </c>
      <c r="I445" s="25">
        <v>57940</v>
      </c>
      <c r="J445" s="25">
        <v>17983</v>
      </c>
      <c r="K445" s="25">
        <v>2628602</v>
      </c>
      <c r="L445" s="25">
        <v>284513</v>
      </c>
      <c r="M445" s="25">
        <v>2913115</v>
      </c>
      <c r="N445" s="31">
        <v>0.9</v>
      </c>
      <c r="O445" s="25">
        <v>179345</v>
      </c>
      <c r="P445" s="25">
        <v>247152</v>
      </c>
      <c r="Q445" s="25">
        <v>62598</v>
      </c>
      <c r="R445" s="25">
        <v>2503</v>
      </c>
      <c r="S445" s="25">
        <v>871</v>
      </c>
      <c r="T445" s="25">
        <v>7466</v>
      </c>
      <c r="U445" s="61">
        <v>233</v>
      </c>
      <c r="V445" s="58">
        <v>7.4999999999999997E-3</v>
      </c>
      <c r="W445" s="33">
        <v>1.09E-2</v>
      </c>
      <c r="X445" s="33">
        <v>6.4000000000000003E-3</v>
      </c>
      <c r="Y445" s="12" t="s">
        <v>3926</v>
      </c>
      <c r="Z445" s="33">
        <v>8.0999999999999996E-3</v>
      </c>
      <c r="AA445" s="33">
        <v>5.9999999999999995E-4</v>
      </c>
      <c r="AB445" s="25">
        <v>534</v>
      </c>
      <c r="AC445" s="25">
        <v>137</v>
      </c>
      <c r="AD445" s="25">
        <v>324</v>
      </c>
      <c r="AE445" s="25">
        <v>0</v>
      </c>
      <c r="AF445" s="25">
        <v>57</v>
      </c>
      <c r="AG445" s="25">
        <v>10</v>
      </c>
      <c r="AH445" s="25">
        <v>6</v>
      </c>
      <c r="AI445" s="12">
        <v>1.22</v>
      </c>
      <c r="AJ445" s="25">
        <v>238375</v>
      </c>
      <c r="AK445" s="25">
        <v>19206</v>
      </c>
      <c r="AL445" s="33">
        <v>8.7599999999999997E-2</v>
      </c>
      <c r="AM445" s="3" t="s">
        <v>2653</v>
      </c>
      <c r="AN445" s="12" t="s">
        <v>1621</v>
      </c>
      <c r="AO445" s="12" t="s">
        <v>1621</v>
      </c>
      <c r="AP445" s="12" t="str">
        <f>"311047710246"</f>
        <v>311047710246</v>
      </c>
      <c r="AQ445" s="12" t="s">
        <v>1621</v>
      </c>
      <c r="AR445" s="12" t="s">
        <v>1622</v>
      </c>
      <c r="AS445" s="12" t="s">
        <v>3770</v>
      </c>
      <c r="AT445" s="12" t="s">
        <v>3771</v>
      </c>
      <c r="AU445" s="12" t="s">
        <v>319</v>
      </c>
      <c r="AV445" s="12"/>
      <c r="AW445" s="12"/>
      <c r="AX445" s="12">
        <v>0</v>
      </c>
      <c r="AY445" s="12">
        <v>8900</v>
      </c>
      <c r="AZ445" s="12">
        <v>0</v>
      </c>
      <c r="BA445" s="12" t="s">
        <v>1623</v>
      </c>
      <c r="BB445" s="12" t="s">
        <v>5876</v>
      </c>
      <c r="BC445" s="12" t="s">
        <v>6748</v>
      </c>
      <c r="BD445" s="12" t="s">
        <v>1624</v>
      </c>
      <c r="BE445" s="12" t="s">
        <v>2291</v>
      </c>
      <c r="BF445" s="12"/>
      <c r="BG445" s="12"/>
      <c r="BH445" s="12"/>
      <c r="BI445" s="12" t="s">
        <v>3772</v>
      </c>
      <c r="BJ445" s="12"/>
      <c r="BK445" s="12"/>
      <c r="BL445" s="12" t="s">
        <v>2292</v>
      </c>
      <c r="BM445" s="12" t="s">
        <v>2292</v>
      </c>
      <c r="BN445" s="12" t="s">
        <v>2292</v>
      </c>
      <c r="BO445" s="12" t="s">
        <v>2291</v>
      </c>
      <c r="BP445" s="12"/>
      <c r="BQ445" s="12"/>
      <c r="BR445" s="12"/>
      <c r="BS445" s="12" t="s">
        <v>3773</v>
      </c>
      <c r="BT445" s="12" t="s">
        <v>3774</v>
      </c>
      <c r="BU445" s="12"/>
      <c r="BV445" s="12"/>
      <c r="BW445" s="12" t="s">
        <v>3775</v>
      </c>
      <c r="BX445" s="12"/>
      <c r="BY445" s="13" t="s">
        <v>313</v>
      </c>
      <c r="BZ445" s="13" t="s">
        <v>6174</v>
      </c>
      <c r="CA445" s="13" t="s">
        <v>6170</v>
      </c>
      <c r="CB445" s="13" t="s">
        <v>6201</v>
      </c>
      <c r="CC445" s="13"/>
      <c r="CD445" s="13" t="s">
        <v>6198</v>
      </c>
      <c r="CE445" s="13"/>
      <c r="CF445" s="13" t="s">
        <v>6178</v>
      </c>
    </row>
    <row r="446" spans="1:84" ht="18.600000000000001" customHeight="1" x14ac:dyDescent="0.25">
      <c r="A446" s="60" t="s">
        <v>161</v>
      </c>
      <c r="B446" s="2" t="s">
        <v>1628</v>
      </c>
      <c r="C446" s="3" t="s">
        <v>2462</v>
      </c>
      <c r="D446" s="12" t="s">
        <v>1625</v>
      </c>
      <c r="E446" s="12" t="s">
        <v>1626</v>
      </c>
      <c r="F446" s="12" t="s">
        <v>4040</v>
      </c>
      <c r="G446" s="25">
        <v>1219715</v>
      </c>
      <c r="H446" s="25">
        <v>1012886</v>
      </c>
      <c r="I446" s="25">
        <v>82209</v>
      </c>
      <c r="J446" s="25">
        <v>42997</v>
      </c>
      <c r="K446" s="25">
        <v>10434669</v>
      </c>
      <c r="L446" s="25">
        <v>2742491</v>
      </c>
      <c r="M446" s="25">
        <v>13177160</v>
      </c>
      <c r="N446" s="31">
        <v>0.79</v>
      </c>
      <c r="O446" s="25">
        <v>271638</v>
      </c>
      <c r="P446" s="25">
        <v>1084960</v>
      </c>
      <c r="Q446" s="25">
        <v>55896</v>
      </c>
      <c r="R446" s="25">
        <v>3787</v>
      </c>
      <c r="S446" s="25">
        <v>8748</v>
      </c>
      <c r="T446" s="25">
        <v>7306</v>
      </c>
      <c r="U446" s="61">
        <v>5877</v>
      </c>
      <c r="V446" s="58">
        <v>8.6999999999999994E-3</v>
      </c>
      <c r="W446" s="33">
        <v>1.0200000000000001E-2</v>
      </c>
      <c r="X446" s="33">
        <v>6.0000000000000001E-3</v>
      </c>
      <c r="Y446" s="33">
        <v>2.3599999999999999E-2</v>
      </c>
      <c r="Z446" s="33">
        <v>9.5999999999999992E-3</v>
      </c>
      <c r="AA446" s="33">
        <v>1.5800000000000002E-2</v>
      </c>
      <c r="AB446" s="25">
        <v>642</v>
      </c>
      <c r="AC446" s="25">
        <v>213</v>
      </c>
      <c r="AD446" s="25">
        <v>173</v>
      </c>
      <c r="AE446" s="25">
        <v>18</v>
      </c>
      <c r="AF446" s="25">
        <v>224</v>
      </c>
      <c r="AG446" s="25">
        <v>13</v>
      </c>
      <c r="AH446" s="25">
        <v>1</v>
      </c>
      <c r="AI446" s="12">
        <v>1.46</v>
      </c>
      <c r="AJ446" s="25">
        <v>238596</v>
      </c>
      <c r="AK446" s="25">
        <v>54798</v>
      </c>
      <c r="AL446" s="33">
        <v>0.29809999999999998</v>
      </c>
      <c r="AM446" s="3" t="s">
        <v>2462</v>
      </c>
      <c r="AN446" s="12" t="s">
        <v>1626</v>
      </c>
      <c r="AO446" s="12" t="s">
        <v>1626</v>
      </c>
      <c r="AP446" s="12" t="str">
        <f>"56800396831"</f>
        <v>56800396831</v>
      </c>
      <c r="AQ446" s="12" t="s">
        <v>1625</v>
      </c>
      <c r="AR446" s="12" t="s">
        <v>3557</v>
      </c>
      <c r="AS446" s="12" t="s">
        <v>3558</v>
      </c>
      <c r="AT446" s="12"/>
      <c r="AU446" s="12" t="s">
        <v>309</v>
      </c>
      <c r="AV446" s="12"/>
      <c r="AW446" s="12"/>
      <c r="AX446" s="12">
        <v>0</v>
      </c>
      <c r="AY446" s="12">
        <v>12434</v>
      </c>
      <c r="AZ446" s="12">
        <v>0</v>
      </c>
      <c r="BA446" s="12" t="s">
        <v>1627</v>
      </c>
      <c r="BB446" s="12"/>
      <c r="BC446" s="12" t="s">
        <v>6524</v>
      </c>
      <c r="BD446" s="12"/>
      <c r="BE446" s="12" t="s">
        <v>2291</v>
      </c>
      <c r="BF446" s="12"/>
      <c r="BG446" s="12"/>
      <c r="BH446" s="12"/>
      <c r="BI446" s="12"/>
      <c r="BJ446" s="12"/>
      <c r="BK446" s="12"/>
      <c r="BL446" s="12" t="s">
        <v>2292</v>
      </c>
      <c r="BM446" s="12" t="s">
        <v>2292</v>
      </c>
      <c r="BN446" s="12" t="s">
        <v>2292</v>
      </c>
      <c r="BO446" s="12" t="s">
        <v>2291</v>
      </c>
      <c r="BP446" s="12"/>
      <c r="BQ446" s="12"/>
      <c r="BR446" s="12"/>
      <c r="BS446" s="12"/>
      <c r="BT446" s="12"/>
      <c r="BU446" s="12"/>
      <c r="BV446" s="12"/>
      <c r="BW446" s="12"/>
      <c r="BX446" s="12"/>
      <c r="BY446" s="13" t="s">
        <v>313</v>
      </c>
      <c r="BZ446" s="13" t="s">
        <v>6171</v>
      </c>
      <c r="CA446" s="13"/>
      <c r="CB446" s="13"/>
      <c r="CC446" s="13"/>
      <c r="CD446" s="13"/>
      <c r="CE446" s="13"/>
      <c r="CF446" s="13"/>
    </row>
    <row r="447" spans="1:84" ht="18.600000000000001" customHeight="1" x14ac:dyDescent="0.25">
      <c r="A447" s="60" t="s">
        <v>161</v>
      </c>
      <c r="B447" s="2" t="s">
        <v>5626</v>
      </c>
      <c r="C447" s="3" t="s">
        <v>5625</v>
      </c>
      <c r="D447" s="12" t="s">
        <v>5651</v>
      </c>
      <c r="E447" s="12" t="s">
        <v>5652</v>
      </c>
      <c r="F447" s="12" t="s">
        <v>5653</v>
      </c>
      <c r="G447" s="25">
        <v>48070</v>
      </c>
      <c r="H447" s="25">
        <v>41827</v>
      </c>
      <c r="I447" s="25">
        <v>2816</v>
      </c>
      <c r="J447" s="25">
        <v>1728</v>
      </c>
      <c r="K447" s="25">
        <v>174319</v>
      </c>
      <c r="L447" s="25">
        <v>183947</v>
      </c>
      <c r="M447" s="25">
        <v>358266</v>
      </c>
      <c r="N447" s="31">
        <v>0.49</v>
      </c>
      <c r="O447" s="25">
        <v>27251</v>
      </c>
      <c r="P447" s="25">
        <v>0</v>
      </c>
      <c r="Q447" s="25">
        <v>1019</v>
      </c>
      <c r="R447" s="25">
        <v>161</v>
      </c>
      <c r="S447" s="25">
        <v>143</v>
      </c>
      <c r="T447" s="25">
        <v>100</v>
      </c>
      <c r="U447" s="61">
        <v>276</v>
      </c>
      <c r="V447" s="58">
        <v>2.1499999999999998E-2</v>
      </c>
      <c r="W447" s="33">
        <v>2.4199999999999999E-2</v>
      </c>
      <c r="X447" s="33">
        <v>1.8499999999999999E-2</v>
      </c>
      <c r="Y447" s="12" t="s">
        <v>3926</v>
      </c>
      <c r="Z447" s="33">
        <v>2.86E-2</v>
      </c>
      <c r="AA447" s="33">
        <v>1.03E-2</v>
      </c>
      <c r="AB447" s="25">
        <v>141</v>
      </c>
      <c r="AC447" s="25">
        <v>72</v>
      </c>
      <c r="AD447" s="25">
        <v>37</v>
      </c>
      <c r="AE447" s="25">
        <v>0</v>
      </c>
      <c r="AF447" s="25">
        <v>19</v>
      </c>
      <c r="AG447" s="25">
        <v>12</v>
      </c>
      <c r="AH447" s="25">
        <v>1</v>
      </c>
      <c r="AI447" s="12">
        <v>0.32</v>
      </c>
      <c r="AJ447" s="25">
        <v>17036</v>
      </c>
      <c r="AK447" s="25">
        <v>0</v>
      </c>
      <c r="AL447" s="31">
        <v>0</v>
      </c>
      <c r="AM447" s="3" t="s">
        <v>5625</v>
      </c>
      <c r="AN447" s="12" t="s">
        <v>5652</v>
      </c>
      <c r="AO447" s="12" t="s">
        <v>5652</v>
      </c>
      <c r="AP447" s="12" t="str">
        <f>"249622108800401"</f>
        <v>249622108800401</v>
      </c>
      <c r="AQ447" s="12" t="s">
        <v>5651</v>
      </c>
      <c r="AR447" s="12"/>
      <c r="AS447" s="12" t="s">
        <v>5853</v>
      </c>
      <c r="AT447" s="12" t="s">
        <v>5854</v>
      </c>
      <c r="AU447" s="12" t="s">
        <v>309</v>
      </c>
      <c r="AV447" s="12"/>
      <c r="AW447" s="12"/>
      <c r="AX447" s="12">
        <v>0</v>
      </c>
      <c r="AY447" s="12">
        <v>25</v>
      </c>
      <c r="AZ447" s="12">
        <v>0</v>
      </c>
      <c r="BA447" s="12" t="s">
        <v>5855</v>
      </c>
      <c r="BB447" s="12"/>
      <c r="BC447" s="12" t="s">
        <v>6671</v>
      </c>
      <c r="BD447" s="12"/>
      <c r="BE447" s="12" t="s">
        <v>2291</v>
      </c>
      <c r="BF447" s="12"/>
      <c r="BG447" s="12"/>
      <c r="BH447" s="12"/>
      <c r="BI447" s="12"/>
      <c r="BJ447" s="12"/>
      <c r="BK447" s="12"/>
      <c r="BL447" s="12" t="s">
        <v>2292</v>
      </c>
      <c r="BM447" s="12" t="s">
        <v>2292</v>
      </c>
      <c r="BN447" s="12" t="s">
        <v>2292</v>
      </c>
      <c r="BO447" s="12" t="s">
        <v>2291</v>
      </c>
      <c r="BP447" s="12"/>
      <c r="BQ447" s="12"/>
      <c r="BR447" s="12"/>
      <c r="BS447" s="12"/>
      <c r="BT447" s="12"/>
      <c r="BU447" s="12"/>
      <c r="BV447" s="12"/>
      <c r="BW447" s="12"/>
      <c r="BX447" s="12"/>
      <c r="BY447" s="13" t="s">
        <v>313</v>
      </c>
      <c r="BZ447" s="13" t="s">
        <v>312</v>
      </c>
      <c r="CA447" s="13"/>
      <c r="CB447" s="13"/>
      <c r="CC447" s="13"/>
      <c r="CD447" s="13"/>
      <c r="CE447" s="13"/>
      <c r="CF447" s="13"/>
    </row>
    <row r="448" spans="1:84" ht="18.600000000000001" customHeight="1" x14ac:dyDescent="0.25">
      <c r="A448" s="60" t="s">
        <v>161</v>
      </c>
      <c r="B448" s="2" t="s">
        <v>335</v>
      </c>
      <c r="C448" s="3" t="s">
        <v>3064</v>
      </c>
      <c r="D448" s="12" t="s">
        <v>3200</v>
      </c>
      <c r="E448" s="12" t="s">
        <v>1629</v>
      </c>
      <c r="F448" s="12" t="s">
        <v>4412</v>
      </c>
      <c r="G448" s="25">
        <v>30032</v>
      </c>
      <c r="H448" s="25">
        <v>23564</v>
      </c>
      <c r="I448" s="25">
        <v>965</v>
      </c>
      <c r="J448" s="25">
        <v>4753</v>
      </c>
      <c r="K448" s="25">
        <v>305661</v>
      </c>
      <c r="L448" s="25">
        <v>306857</v>
      </c>
      <c r="M448" s="25">
        <v>612518</v>
      </c>
      <c r="N448" s="31">
        <v>0.5</v>
      </c>
      <c r="O448" s="25">
        <v>34851</v>
      </c>
      <c r="P448" s="25">
        <v>22800</v>
      </c>
      <c r="Q448" s="25">
        <v>574</v>
      </c>
      <c r="R448" s="25">
        <v>37</v>
      </c>
      <c r="S448" s="25">
        <v>21</v>
      </c>
      <c r="T448" s="25">
        <v>101</v>
      </c>
      <c r="U448" s="61">
        <v>16</v>
      </c>
      <c r="V448" s="58">
        <v>4.7000000000000002E-3</v>
      </c>
      <c r="W448" s="33">
        <v>6.0000000000000001E-3</v>
      </c>
      <c r="X448" s="33">
        <v>2E-3</v>
      </c>
      <c r="Y448" s="33">
        <v>3.3E-3</v>
      </c>
      <c r="Z448" s="33">
        <v>4.0000000000000001E-3</v>
      </c>
      <c r="AA448" s="33">
        <v>2.7000000000000001E-3</v>
      </c>
      <c r="AB448" s="25">
        <v>284</v>
      </c>
      <c r="AC448" s="25">
        <v>108</v>
      </c>
      <c r="AD448" s="25">
        <v>55</v>
      </c>
      <c r="AE448" s="25">
        <v>2</v>
      </c>
      <c r="AF448" s="25">
        <v>99</v>
      </c>
      <c r="AG448" s="25">
        <v>18</v>
      </c>
      <c r="AH448" s="25">
        <v>2</v>
      </c>
      <c r="AI448" s="12">
        <v>0.65</v>
      </c>
      <c r="AJ448" s="25">
        <v>24262</v>
      </c>
      <c r="AK448" s="25">
        <v>4914</v>
      </c>
      <c r="AL448" s="33">
        <v>0.254</v>
      </c>
      <c r="AM448" s="3" t="s">
        <v>3064</v>
      </c>
      <c r="AN448" s="12" t="s">
        <v>1629</v>
      </c>
      <c r="AO448" s="12" t="s">
        <v>1629</v>
      </c>
      <c r="AP448" s="12" t="str">
        <f>"75894488846"</f>
        <v>75894488846</v>
      </c>
      <c r="AQ448" s="12" t="s">
        <v>3200</v>
      </c>
      <c r="AR448" s="12" t="s">
        <v>1630</v>
      </c>
      <c r="AS448" s="12" t="s">
        <v>3065</v>
      </c>
      <c r="AT448" s="12"/>
      <c r="AU448" s="12" t="s">
        <v>324</v>
      </c>
      <c r="AV448" s="12"/>
      <c r="AW448" s="12" t="s">
        <v>1631</v>
      </c>
      <c r="AX448" s="12">
        <v>353</v>
      </c>
      <c r="AY448" s="12">
        <v>87</v>
      </c>
      <c r="AZ448" s="12">
        <v>0</v>
      </c>
      <c r="BA448" s="12" t="s">
        <v>1632</v>
      </c>
      <c r="BB448" s="12" t="s">
        <v>6054</v>
      </c>
      <c r="BC448" s="12" t="s">
        <v>7367</v>
      </c>
      <c r="BD448" s="12"/>
      <c r="BE448" s="12" t="s">
        <v>2291</v>
      </c>
      <c r="BF448" s="12"/>
      <c r="BG448" s="12"/>
      <c r="BH448" s="12"/>
      <c r="BI448" s="12" t="s">
        <v>4920</v>
      </c>
      <c r="BJ448" s="12" t="s">
        <v>3818</v>
      </c>
      <c r="BK448" s="12" t="s">
        <v>7368</v>
      </c>
      <c r="BL448" s="12" t="s">
        <v>2292</v>
      </c>
      <c r="BM448" s="12" t="s">
        <v>2292</v>
      </c>
      <c r="BN448" s="12" t="s">
        <v>2292</v>
      </c>
      <c r="BO448" s="12" t="s">
        <v>2291</v>
      </c>
      <c r="BP448" s="12" t="s">
        <v>1633</v>
      </c>
      <c r="BQ448" s="12"/>
      <c r="BR448" s="12"/>
      <c r="BS448" s="12"/>
      <c r="BT448" s="12" t="s">
        <v>3066</v>
      </c>
      <c r="BU448" s="12"/>
      <c r="BV448" s="12"/>
      <c r="BW448" s="12" t="s">
        <v>1634</v>
      </c>
      <c r="BX448" s="12"/>
      <c r="BY448" s="13" t="s">
        <v>313</v>
      </c>
      <c r="BZ448" s="13" t="s">
        <v>6170</v>
      </c>
      <c r="CA448" s="13" t="s">
        <v>6170</v>
      </c>
      <c r="CB448" s="13" t="s">
        <v>6200</v>
      </c>
      <c r="CC448" s="13"/>
      <c r="CD448" s="13" t="s">
        <v>6195</v>
      </c>
      <c r="CE448" s="13"/>
      <c r="CF448" s="13"/>
    </row>
    <row r="449" spans="1:84" ht="18.600000000000001" customHeight="1" x14ac:dyDescent="0.25">
      <c r="A449" s="60" t="s">
        <v>162</v>
      </c>
      <c r="B449" s="2" t="s">
        <v>1639</v>
      </c>
      <c r="C449" s="3" t="s">
        <v>2309</v>
      </c>
      <c r="D449" s="12" t="s">
        <v>1635</v>
      </c>
      <c r="E449" s="12" t="s">
        <v>1636</v>
      </c>
      <c r="F449" s="12" t="s">
        <v>3945</v>
      </c>
      <c r="G449" s="25">
        <v>982877</v>
      </c>
      <c r="H449" s="25">
        <v>710027</v>
      </c>
      <c r="I449" s="25">
        <v>86279</v>
      </c>
      <c r="J449" s="25">
        <v>46763</v>
      </c>
      <c r="K449" s="25">
        <v>8597039</v>
      </c>
      <c r="L449" s="25">
        <v>2028473</v>
      </c>
      <c r="M449" s="25">
        <v>10625512</v>
      </c>
      <c r="N449" s="31">
        <v>0.81</v>
      </c>
      <c r="O449" s="25">
        <v>3686454</v>
      </c>
      <c r="P449" s="25">
        <v>970466</v>
      </c>
      <c r="Q449" s="25">
        <v>112600</v>
      </c>
      <c r="R449" s="25">
        <v>3049</v>
      </c>
      <c r="S449" s="25">
        <v>6118</v>
      </c>
      <c r="T449" s="25">
        <v>6148</v>
      </c>
      <c r="U449" s="61">
        <v>11497</v>
      </c>
      <c r="V449" s="58">
        <v>3.0999999999999999E-3</v>
      </c>
      <c r="W449" s="33">
        <v>3.5000000000000001E-3</v>
      </c>
      <c r="X449" s="33">
        <v>4.0000000000000002E-4</v>
      </c>
      <c r="Y449" s="33">
        <v>4.1999999999999997E-3</v>
      </c>
      <c r="Z449" s="33">
        <v>4.1999999999999997E-3</v>
      </c>
      <c r="AA449" s="33">
        <v>8.0000000000000004E-4</v>
      </c>
      <c r="AB449" s="25">
        <v>500</v>
      </c>
      <c r="AC449" s="25">
        <v>238</v>
      </c>
      <c r="AD449" s="25">
        <v>7</v>
      </c>
      <c r="AE449" s="25">
        <v>1</v>
      </c>
      <c r="AF449" s="25">
        <v>130</v>
      </c>
      <c r="AG449" s="25">
        <v>113</v>
      </c>
      <c r="AH449" s="25">
        <v>11</v>
      </c>
      <c r="AI449" s="12">
        <v>1.1399999999999999</v>
      </c>
      <c r="AJ449" s="25">
        <v>651533</v>
      </c>
      <c r="AK449" s="25">
        <v>47256</v>
      </c>
      <c r="AL449" s="33">
        <v>7.8200000000000006E-2</v>
      </c>
      <c r="AM449" s="3" t="s">
        <v>2309</v>
      </c>
      <c r="AN449" s="12" t="s">
        <v>1636</v>
      </c>
      <c r="AO449" s="12" t="s">
        <v>1636</v>
      </c>
      <c r="AP449" s="12" t="str">
        <f>"160906857259563"</f>
        <v>160906857259563</v>
      </c>
      <c r="AQ449" s="12" t="s">
        <v>1635</v>
      </c>
      <c r="AR449" s="12" t="s">
        <v>4501</v>
      </c>
      <c r="AS449" s="12" t="s">
        <v>1637</v>
      </c>
      <c r="AT449" s="12"/>
      <c r="AU449" s="12" t="s">
        <v>309</v>
      </c>
      <c r="AV449" s="12"/>
      <c r="AW449" s="12"/>
      <c r="AX449" s="12">
        <v>0</v>
      </c>
      <c r="AY449" s="12">
        <v>6706</v>
      </c>
      <c r="AZ449" s="12">
        <v>0</v>
      </c>
      <c r="BA449" s="12" t="s">
        <v>1638</v>
      </c>
      <c r="BB449" s="12"/>
      <c r="BC449" s="12" t="s">
        <v>6303</v>
      </c>
      <c r="BD449" s="12"/>
      <c r="BE449" s="12" t="s">
        <v>2291</v>
      </c>
      <c r="BF449" s="12"/>
      <c r="BG449" s="12"/>
      <c r="BH449" s="12"/>
      <c r="BI449" s="12"/>
      <c r="BJ449" s="12"/>
      <c r="BK449" s="12"/>
      <c r="BL449" s="12" t="s">
        <v>2292</v>
      </c>
      <c r="BM449" s="12" t="s">
        <v>2292</v>
      </c>
      <c r="BN449" s="12" t="s">
        <v>2292</v>
      </c>
      <c r="BO449" s="12" t="s">
        <v>2291</v>
      </c>
      <c r="BP449" s="12"/>
      <c r="BQ449" s="12"/>
      <c r="BR449" s="12"/>
      <c r="BS449" s="12"/>
      <c r="BT449" s="12"/>
      <c r="BU449" s="12"/>
      <c r="BV449" s="12"/>
      <c r="BW449" s="12"/>
      <c r="BX449" s="12"/>
      <c r="BY449" s="13" t="s">
        <v>313</v>
      </c>
      <c r="BZ449" s="13" t="s">
        <v>6173</v>
      </c>
      <c r="CA449" s="13"/>
      <c r="CB449" s="13"/>
      <c r="CC449" s="13"/>
      <c r="CD449" s="13"/>
      <c r="CE449" s="13"/>
      <c r="CF449" s="13"/>
    </row>
    <row r="450" spans="1:84" ht="18.600000000000001" customHeight="1" x14ac:dyDescent="0.25">
      <c r="A450" s="60" t="s">
        <v>162</v>
      </c>
      <c r="B450" s="2" t="s">
        <v>314</v>
      </c>
      <c r="C450" s="4" t="s">
        <v>4932</v>
      </c>
      <c r="D450" s="12" t="s">
        <v>4949</v>
      </c>
      <c r="E450" s="12"/>
      <c r="F450" s="12" t="s">
        <v>5183</v>
      </c>
      <c r="G450" s="25">
        <v>287567</v>
      </c>
      <c r="H450" s="25">
        <v>152622</v>
      </c>
      <c r="I450" s="25">
        <v>35750</v>
      </c>
      <c r="J450" s="25">
        <v>52297</v>
      </c>
      <c r="K450" s="25">
        <v>1634088</v>
      </c>
      <c r="L450" s="25">
        <v>5611420</v>
      </c>
      <c r="M450" s="25">
        <v>7245508</v>
      </c>
      <c r="N450" s="31">
        <v>0.23</v>
      </c>
      <c r="O450" s="25">
        <v>53620</v>
      </c>
      <c r="P450" s="25">
        <v>2241597</v>
      </c>
      <c r="Q450" s="25">
        <v>39489</v>
      </c>
      <c r="R450" s="25">
        <v>908</v>
      </c>
      <c r="S450" s="25">
        <v>1610</v>
      </c>
      <c r="T450" s="25">
        <v>2197</v>
      </c>
      <c r="U450" s="61">
        <v>2532</v>
      </c>
      <c r="V450" s="58">
        <v>1.1599999999999999E-2</v>
      </c>
      <c r="W450" s="33">
        <v>8.3999999999999995E-3</v>
      </c>
      <c r="X450" s="33">
        <v>3.3999999999999998E-3</v>
      </c>
      <c r="Y450" s="33">
        <v>6.3E-3</v>
      </c>
      <c r="Z450" s="33">
        <v>1.7399999999999999E-2</v>
      </c>
      <c r="AA450" s="33">
        <v>2.2000000000000001E-3</v>
      </c>
      <c r="AB450" s="25">
        <v>1239</v>
      </c>
      <c r="AC450" s="25">
        <v>548</v>
      </c>
      <c r="AD450" s="25">
        <v>111</v>
      </c>
      <c r="AE450" s="25">
        <v>14</v>
      </c>
      <c r="AF450" s="25">
        <v>523</v>
      </c>
      <c r="AG450" s="25">
        <v>35</v>
      </c>
      <c r="AH450" s="25">
        <v>8</v>
      </c>
      <c r="AI450" s="12">
        <v>2.82</v>
      </c>
      <c r="AJ450" s="25">
        <v>27345</v>
      </c>
      <c r="AK450" s="25">
        <v>0</v>
      </c>
      <c r="AL450" s="31">
        <v>0</v>
      </c>
      <c r="AM450" s="4" t="s">
        <v>4932</v>
      </c>
      <c r="AN450" s="12" t="s">
        <v>5327</v>
      </c>
      <c r="AO450" s="12"/>
      <c r="AP450" s="12" t="str">
        <f>"112191058856046"</f>
        <v>112191058856046</v>
      </c>
      <c r="AQ450" s="12" t="s">
        <v>4949</v>
      </c>
      <c r="AR450" s="12" t="s">
        <v>5328</v>
      </c>
      <c r="AS450" s="12" t="s">
        <v>4950</v>
      </c>
      <c r="AT450" s="12"/>
      <c r="AU450" s="12" t="s">
        <v>324</v>
      </c>
      <c r="AV450" s="12" t="s">
        <v>5872</v>
      </c>
      <c r="AW450" s="12"/>
      <c r="AX450" s="12">
        <v>907</v>
      </c>
      <c r="AY450" s="12">
        <v>8448</v>
      </c>
      <c r="AZ450" s="12">
        <v>907</v>
      </c>
      <c r="BA450" s="12" t="s">
        <v>4951</v>
      </c>
      <c r="BB450" s="12" t="s">
        <v>6724</v>
      </c>
      <c r="BC450" s="12" t="s">
        <v>6725</v>
      </c>
      <c r="BD450" s="12"/>
      <c r="BE450" s="12" t="s">
        <v>2291</v>
      </c>
      <c r="BF450" s="12"/>
      <c r="BG450" s="12"/>
      <c r="BH450" s="12"/>
      <c r="BI450" s="12"/>
      <c r="BJ450" s="12"/>
      <c r="BK450" s="12"/>
      <c r="BL450" s="12" t="s">
        <v>2292</v>
      </c>
      <c r="BM450" s="12" t="s">
        <v>2292</v>
      </c>
      <c r="BN450" s="12" t="s">
        <v>2292</v>
      </c>
      <c r="BO450" s="12" t="s">
        <v>2292</v>
      </c>
      <c r="BP450" s="12"/>
      <c r="BQ450" s="12"/>
      <c r="BR450" s="12"/>
      <c r="BS450" s="12"/>
      <c r="BT450" s="12" t="s">
        <v>5329</v>
      </c>
      <c r="BU450" s="12" t="s">
        <v>326</v>
      </c>
      <c r="BV450" s="12"/>
      <c r="BW450" s="12" t="s">
        <v>5330</v>
      </c>
      <c r="BX450" s="12"/>
      <c r="BY450" s="13" t="s">
        <v>313</v>
      </c>
      <c r="BZ450" s="13" t="s">
        <v>6172</v>
      </c>
      <c r="CA450" s="13"/>
      <c r="CB450" s="13"/>
      <c r="CC450" s="13"/>
      <c r="CD450" s="13"/>
      <c r="CE450" s="13"/>
      <c r="CF450" s="13"/>
    </row>
    <row r="451" spans="1:84" ht="18.600000000000001" customHeight="1" x14ac:dyDescent="0.25">
      <c r="A451" s="60" t="s">
        <v>162</v>
      </c>
      <c r="B451" s="2" t="s">
        <v>5627</v>
      </c>
      <c r="C451" s="3" t="s">
        <v>6185</v>
      </c>
      <c r="D451" s="12" t="s">
        <v>5666</v>
      </c>
      <c r="E451" s="12" t="s">
        <v>6799</v>
      </c>
      <c r="F451" s="12" t="s">
        <v>7421</v>
      </c>
      <c r="G451" s="25">
        <v>15851</v>
      </c>
      <c r="H451" s="25">
        <v>11540</v>
      </c>
      <c r="I451" s="25">
        <v>812</v>
      </c>
      <c r="J451" s="25">
        <v>1437</v>
      </c>
      <c r="K451" s="25">
        <v>0</v>
      </c>
      <c r="L451" s="25">
        <v>0</v>
      </c>
      <c r="M451" s="25">
        <v>0</v>
      </c>
      <c r="N451" s="31">
        <v>0</v>
      </c>
      <c r="O451" s="25">
        <v>27302</v>
      </c>
      <c r="P451" s="25">
        <v>0</v>
      </c>
      <c r="Q451" s="25">
        <v>1905</v>
      </c>
      <c r="R451" s="25">
        <v>24</v>
      </c>
      <c r="S451" s="25">
        <v>30</v>
      </c>
      <c r="T451" s="25">
        <v>69</v>
      </c>
      <c r="U451" s="61">
        <v>34</v>
      </c>
      <c r="V451" s="58">
        <v>1.1900000000000001E-2</v>
      </c>
      <c r="W451" s="33">
        <v>0</v>
      </c>
      <c r="X451" s="33">
        <v>0</v>
      </c>
      <c r="Y451" s="33">
        <v>0</v>
      </c>
      <c r="Z451" s="12" t="s">
        <v>3926</v>
      </c>
      <c r="AA451" s="33">
        <v>7.4999999999999997E-3</v>
      </c>
      <c r="AB451" s="25">
        <v>361</v>
      </c>
      <c r="AC451" s="25">
        <v>167</v>
      </c>
      <c r="AD451" s="25">
        <v>64</v>
      </c>
      <c r="AE451" s="25">
        <v>20</v>
      </c>
      <c r="AF451" s="25">
        <v>0</v>
      </c>
      <c r="AG451" s="25">
        <v>101</v>
      </c>
      <c r="AH451" s="25">
        <v>9</v>
      </c>
      <c r="AI451" s="12">
        <v>0.82</v>
      </c>
      <c r="AJ451" s="25">
        <v>3601</v>
      </c>
      <c r="AK451" s="25">
        <v>0</v>
      </c>
      <c r="AL451" s="31">
        <v>0</v>
      </c>
      <c r="AM451" s="3" t="s">
        <v>6185</v>
      </c>
      <c r="AN451" s="12" t="s">
        <v>6799</v>
      </c>
      <c r="AO451" s="12" t="s">
        <v>6799</v>
      </c>
      <c r="AP451" s="12" t="str">
        <f>"160581601360797"</f>
        <v>160581601360797</v>
      </c>
      <c r="AQ451" s="12" t="s">
        <v>5666</v>
      </c>
      <c r="AR451" s="12" t="s">
        <v>6800</v>
      </c>
      <c r="AS451" s="12" t="s">
        <v>6801</v>
      </c>
      <c r="AT451" s="12"/>
      <c r="AU451" s="12" t="s">
        <v>309</v>
      </c>
      <c r="AV451" s="12"/>
      <c r="AW451" s="12"/>
      <c r="AX451" s="12">
        <v>0</v>
      </c>
      <c r="AY451" s="12">
        <v>385</v>
      </c>
      <c r="AZ451" s="12">
        <v>0</v>
      </c>
      <c r="BA451" s="12" t="s">
        <v>6802</v>
      </c>
      <c r="BB451" s="12"/>
      <c r="BC451" s="12" t="s">
        <v>6803</v>
      </c>
      <c r="BD451" s="12"/>
      <c r="BE451" s="12" t="s">
        <v>2291</v>
      </c>
      <c r="BF451" s="12"/>
      <c r="BG451" s="12"/>
      <c r="BH451" s="12"/>
      <c r="BI451" s="12"/>
      <c r="BJ451" s="12"/>
      <c r="BK451" s="12"/>
      <c r="BL451" s="12" t="s">
        <v>2292</v>
      </c>
      <c r="BM451" s="12" t="s">
        <v>2292</v>
      </c>
      <c r="BN451" s="12" t="s">
        <v>2292</v>
      </c>
      <c r="BO451" s="12" t="s">
        <v>2292</v>
      </c>
      <c r="BP451" s="12"/>
      <c r="BQ451" s="12"/>
      <c r="BR451" s="12"/>
      <c r="BS451" s="12"/>
      <c r="BT451" s="12"/>
      <c r="BU451" s="12"/>
      <c r="BV451" s="12"/>
      <c r="BW451" s="12"/>
      <c r="BX451" s="12"/>
      <c r="BY451" s="13" t="s">
        <v>313</v>
      </c>
      <c r="BZ451" s="13" t="s">
        <v>312</v>
      </c>
      <c r="CA451" s="13" t="s">
        <v>6170</v>
      </c>
      <c r="CB451" s="13" t="s">
        <v>6199</v>
      </c>
      <c r="CC451" s="13"/>
      <c r="CD451" s="13" t="s">
        <v>6198</v>
      </c>
      <c r="CE451" s="13"/>
      <c r="CF451" s="13"/>
    </row>
    <row r="452" spans="1:84" ht="18.600000000000001" customHeight="1" x14ac:dyDescent="0.25">
      <c r="A452" s="60" t="s">
        <v>162</v>
      </c>
      <c r="B452" s="2" t="s">
        <v>315</v>
      </c>
      <c r="C452" s="3" t="s">
        <v>2633</v>
      </c>
      <c r="D452" s="12" t="s">
        <v>1641</v>
      </c>
      <c r="E452" s="12" t="s">
        <v>1642</v>
      </c>
      <c r="F452" s="12" t="s">
        <v>4130</v>
      </c>
      <c r="G452" s="25">
        <v>503557</v>
      </c>
      <c r="H452" s="25">
        <v>292268</v>
      </c>
      <c r="I452" s="25">
        <v>58757</v>
      </c>
      <c r="J452" s="25">
        <v>68638</v>
      </c>
      <c r="K452" s="25">
        <v>9603379</v>
      </c>
      <c r="L452" s="25">
        <v>2648861</v>
      </c>
      <c r="M452" s="25">
        <v>12252240</v>
      </c>
      <c r="N452" s="31">
        <v>0.78</v>
      </c>
      <c r="O452" s="25">
        <v>131095</v>
      </c>
      <c r="P452" s="25">
        <v>216244</v>
      </c>
      <c r="Q452" s="25">
        <v>52743</v>
      </c>
      <c r="R452" s="25">
        <v>1147</v>
      </c>
      <c r="S452" s="25">
        <v>16136</v>
      </c>
      <c r="T452" s="25">
        <v>3135</v>
      </c>
      <c r="U452" s="61">
        <v>10359</v>
      </c>
      <c r="V452" s="58">
        <v>5.4000000000000003E-3</v>
      </c>
      <c r="W452" s="33">
        <v>4.1000000000000003E-3</v>
      </c>
      <c r="X452" s="33">
        <v>3.0000000000000001E-3</v>
      </c>
      <c r="Y452" s="12" t="s">
        <v>3926</v>
      </c>
      <c r="Z452" s="33">
        <v>7.7999999999999996E-3</v>
      </c>
      <c r="AA452" s="33">
        <v>1E-3</v>
      </c>
      <c r="AB452" s="25">
        <v>1019</v>
      </c>
      <c r="AC452" s="25">
        <v>466</v>
      </c>
      <c r="AD452" s="25">
        <v>156</v>
      </c>
      <c r="AE452" s="25">
        <v>0</v>
      </c>
      <c r="AF452" s="25">
        <v>381</v>
      </c>
      <c r="AG452" s="25">
        <v>12</v>
      </c>
      <c r="AH452" s="25">
        <v>4</v>
      </c>
      <c r="AI452" s="12">
        <v>2.3199999999999998</v>
      </c>
      <c r="AJ452" s="25">
        <v>102864</v>
      </c>
      <c r="AK452" s="25">
        <v>17930</v>
      </c>
      <c r="AL452" s="33">
        <v>0.21110000000000001</v>
      </c>
      <c r="AM452" s="3" t="s">
        <v>2633</v>
      </c>
      <c r="AN452" s="12" t="s">
        <v>1642</v>
      </c>
      <c r="AO452" s="12" t="s">
        <v>1642</v>
      </c>
      <c r="AP452" s="12" t="str">
        <f>"176114889652"</f>
        <v>176114889652</v>
      </c>
      <c r="AQ452" s="12" t="s">
        <v>1641</v>
      </c>
      <c r="AR452" s="12" t="s">
        <v>4906</v>
      </c>
      <c r="AS452" s="12" t="s">
        <v>3181</v>
      </c>
      <c r="AT452" s="12"/>
      <c r="AU452" s="12" t="s">
        <v>324</v>
      </c>
      <c r="AV452" s="12" t="s">
        <v>5731</v>
      </c>
      <c r="AW452" s="12"/>
      <c r="AX452" s="12">
        <v>8135</v>
      </c>
      <c r="AY452" s="12">
        <v>5386</v>
      </c>
      <c r="AZ452" s="12">
        <v>0</v>
      </c>
      <c r="BA452" s="12" t="s">
        <v>1643</v>
      </c>
      <c r="BB452" s="12" t="s">
        <v>6721</v>
      </c>
      <c r="BC452" s="12" t="s">
        <v>6722</v>
      </c>
      <c r="BD452" s="12"/>
      <c r="BE452" s="12" t="s">
        <v>2291</v>
      </c>
      <c r="BF452" s="12"/>
      <c r="BG452" s="12"/>
      <c r="BH452" s="12"/>
      <c r="BI452" s="12" t="s">
        <v>3593</v>
      </c>
      <c r="BJ452" s="12"/>
      <c r="BK452" s="12" t="s">
        <v>6723</v>
      </c>
      <c r="BL452" s="12" t="s">
        <v>2292</v>
      </c>
      <c r="BM452" s="12" t="s">
        <v>2292</v>
      </c>
      <c r="BN452" s="12" t="s">
        <v>2292</v>
      </c>
      <c r="BO452" s="12" t="s">
        <v>2291</v>
      </c>
      <c r="BP452" s="12"/>
      <c r="BQ452" s="12"/>
      <c r="BR452" s="12"/>
      <c r="BS452" s="12"/>
      <c r="BT452" s="12" t="s">
        <v>1644</v>
      </c>
      <c r="BU452" s="12" t="s">
        <v>326</v>
      </c>
      <c r="BV452" s="12"/>
      <c r="BW452" s="12" t="s">
        <v>1645</v>
      </c>
      <c r="BX452" s="12"/>
      <c r="BY452" s="13" t="s">
        <v>313</v>
      </c>
      <c r="BZ452" s="13" t="s">
        <v>6177</v>
      </c>
      <c r="CA452" s="13"/>
      <c r="CB452" s="13"/>
      <c r="CC452" s="13"/>
      <c r="CD452" s="13"/>
      <c r="CE452" s="13"/>
      <c r="CF452" s="13"/>
    </row>
    <row r="453" spans="1:84" ht="18.600000000000001" customHeight="1" x14ac:dyDescent="0.25">
      <c r="A453" s="60" t="s">
        <v>162</v>
      </c>
      <c r="B453" s="2" t="s">
        <v>1649</v>
      </c>
      <c r="C453" s="3" t="s">
        <v>3091</v>
      </c>
      <c r="D453" s="12" t="s">
        <v>1647</v>
      </c>
      <c r="E453" s="12" t="s">
        <v>1646</v>
      </c>
      <c r="F453" s="12" t="s">
        <v>4430</v>
      </c>
      <c r="G453" s="25">
        <v>53753</v>
      </c>
      <c r="H453" s="25">
        <v>41053</v>
      </c>
      <c r="I453" s="25">
        <v>3736</v>
      </c>
      <c r="J453" s="25">
        <v>3867</v>
      </c>
      <c r="K453" s="25">
        <v>0</v>
      </c>
      <c r="L453" s="25">
        <v>0</v>
      </c>
      <c r="M453" s="25">
        <v>0</v>
      </c>
      <c r="N453" s="31">
        <v>0</v>
      </c>
      <c r="O453" s="25">
        <v>4190</v>
      </c>
      <c r="P453" s="25">
        <v>0</v>
      </c>
      <c r="Q453" s="25">
        <v>3973</v>
      </c>
      <c r="R453" s="25">
        <v>133</v>
      </c>
      <c r="S453" s="25">
        <v>391</v>
      </c>
      <c r="T453" s="25">
        <v>233</v>
      </c>
      <c r="U453" s="61">
        <v>366</v>
      </c>
      <c r="V453" s="58">
        <v>6.4999999999999997E-3</v>
      </c>
      <c r="W453" s="33">
        <v>5.8999999999999999E-3</v>
      </c>
      <c r="X453" s="33">
        <v>7.3000000000000001E-3</v>
      </c>
      <c r="Y453" s="33">
        <v>1.2800000000000001E-2</v>
      </c>
      <c r="Z453" s="12" t="s">
        <v>3926</v>
      </c>
      <c r="AA453" s="33">
        <v>4.1000000000000003E-3</v>
      </c>
      <c r="AB453" s="25">
        <v>588</v>
      </c>
      <c r="AC453" s="25">
        <v>157</v>
      </c>
      <c r="AD453" s="25">
        <v>411</v>
      </c>
      <c r="AE453" s="25">
        <v>2</v>
      </c>
      <c r="AF453" s="25">
        <v>0</v>
      </c>
      <c r="AG453" s="25">
        <v>5</v>
      </c>
      <c r="AH453" s="25">
        <v>13</v>
      </c>
      <c r="AI453" s="12">
        <v>1.34</v>
      </c>
      <c r="AJ453" s="25">
        <v>16194</v>
      </c>
      <c r="AK453" s="25">
        <v>5808</v>
      </c>
      <c r="AL453" s="33">
        <v>0.55920000000000003</v>
      </c>
      <c r="AM453" s="3" t="s">
        <v>3091</v>
      </c>
      <c r="AN453" s="12" t="s">
        <v>1646</v>
      </c>
      <c r="AO453" s="12" t="s">
        <v>1646</v>
      </c>
      <c r="AP453" s="12" t="str">
        <f>"484602704917458"</f>
        <v>484602704917458</v>
      </c>
      <c r="AQ453" s="12" t="s">
        <v>1647</v>
      </c>
      <c r="AR453" s="12"/>
      <c r="AS453" s="12" t="s">
        <v>6072</v>
      </c>
      <c r="AT453" s="12" t="s">
        <v>3092</v>
      </c>
      <c r="AU453" s="12" t="s">
        <v>309</v>
      </c>
      <c r="AV453" s="12"/>
      <c r="AW453" s="12"/>
      <c r="AX453" s="12">
        <v>0</v>
      </c>
      <c r="AY453" s="12">
        <v>129</v>
      </c>
      <c r="AZ453" s="12">
        <v>0</v>
      </c>
      <c r="BA453" s="12" t="s">
        <v>1648</v>
      </c>
      <c r="BB453" s="12"/>
      <c r="BC453" s="12" t="s">
        <v>7395</v>
      </c>
      <c r="BD453" s="12" t="s">
        <v>1640</v>
      </c>
      <c r="BE453" s="12" t="s">
        <v>2291</v>
      </c>
      <c r="BF453" s="12"/>
      <c r="BG453" s="12"/>
      <c r="BH453" s="12"/>
      <c r="BI453" s="12"/>
      <c r="BJ453" s="12"/>
      <c r="BK453" s="12"/>
      <c r="BL453" s="12" t="s">
        <v>2292</v>
      </c>
      <c r="BM453" s="12" t="s">
        <v>2292</v>
      </c>
      <c r="BN453" s="12" t="s">
        <v>2292</v>
      </c>
      <c r="BO453" s="12" t="s">
        <v>2291</v>
      </c>
      <c r="BP453" s="12"/>
      <c r="BQ453" s="12"/>
      <c r="BR453" s="12"/>
      <c r="BS453" s="12"/>
      <c r="BT453" s="12"/>
      <c r="BU453" s="12"/>
      <c r="BV453" s="12"/>
      <c r="BW453" s="12"/>
      <c r="BX453" s="12"/>
      <c r="BY453" s="13" t="s">
        <v>313</v>
      </c>
      <c r="BZ453" s="13" t="s">
        <v>6170</v>
      </c>
      <c r="CA453" s="13" t="s">
        <v>6170</v>
      </c>
      <c r="CB453" s="13" t="s">
        <v>312</v>
      </c>
      <c r="CC453" s="13"/>
      <c r="CD453" s="13" t="s">
        <v>6198</v>
      </c>
      <c r="CE453" s="13"/>
      <c r="CF453" s="13"/>
    </row>
    <row r="454" spans="1:84" ht="18.600000000000001" customHeight="1" x14ac:dyDescent="0.25">
      <c r="A454" s="60" t="s">
        <v>162</v>
      </c>
      <c r="B454" s="2" t="s">
        <v>335</v>
      </c>
      <c r="C454" s="3" t="s">
        <v>2859</v>
      </c>
      <c r="D454" s="12" t="s">
        <v>4274</v>
      </c>
      <c r="E454" s="12" t="s">
        <v>1650</v>
      </c>
      <c r="F454" s="12" t="s">
        <v>4275</v>
      </c>
      <c r="G454" s="25">
        <v>110018</v>
      </c>
      <c r="H454" s="25">
        <v>65660</v>
      </c>
      <c r="I454" s="25">
        <v>2592</v>
      </c>
      <c r="J454" s="25">
        <v>31486</v>
      </c>
      <c r="K454" s="25">
        <v>65258</v>
      </c>
      <c r="L454" s="25">
        <v>271728</v>
      </c>
      <c r="M454" s="25">
        <v>336986</v>
      </c>
      <c r="N454" s="31">
        <v>0.19</v>
      </c>
      <c r="O454" s="25">
        <v>8280</v>
      </c>
      <c r="P454" s="25">
        <v>0</v>
      </c>
      <c r="Q454" s="25">
        <v>7724</v>
      </c>
      <c r="R454" s="25">
        <v>932</v>
      </c>
      <c r="S454" s="25">
        <v>74</v>
      </c>
      <c r="T454" s="25">
        <v>1386</v>
      </c>
      <c r="U454" s="61">
        <v>163</v>
      </c>
      <c r="V454" s="58">
        <v>6.1000000000000004E-3</v>
      </c>
      <c r="W454" s="33">
        <v>7.1000000000000004E-3</v>
      </c>
      <c r="X454" s="33">
        <v>5.0000000000000001E-3</v>
      </c>
      <c r="Y454" s="12" t="s">
        <v>3926</v>
      </c>
      <c r="Z454" s="33">
        <v>1.18E-2</v>
      </c>
      <c r="AA454" s="33">
        <v>2.0999999999999999E-3</v>
      </c>
      <c r="AB454" s="25">
        <v>303</v>
      </c>
      <c r="AC454" s="25">
        <v>119</v>
      </c>
      <c r="AD454" s="25">
        <v>158</v>
      </c>
      <c r="AE454" s="25">
        <v>0</v>
      </c>
      <c r="AF454" s="25">
        <v>15</v>
      </c>
      <c r="AG454" s="25">
        <v>5</v>
      </c>
      <c r="AH454" s="25">
        <v>6</v>
      </c>
      <c r="AI454" s="12">
        <v>0.69</v>
      </c>
      <c r="AJ454" s="25">
        <v>64381</v>
      </c>
      <c r="AK454" s="25">
        <v>9588</v>
      </c>
      <c r="AL454" s="33">
        <v>0.17499999999999999</v>
      </c>
      <c r="AM454" s="3" t="s">
        <v>2859</v>
      </c>
      <c r="AN454" s="12" t="s">
        <v>1650</v>
      </c>
      <c r="AO454" s="12" t="s">
        <v>1650</v>
      </c>
      <c r="AP454" s="12" t="str">
        <f>"120927384594177"</f>
        <v>120927384594177</v>
      </c>
      <c r="AQ454" s="12" t="s">
        <v>4274</v>
      </c>
      <c r="AR454" s="12" t="s">
        <v>4620</v>
      </c>
      <c r="AS454" s="12" t="s">
        <v>3445</v>
      </c>
      <c r="AT454" s="12"/>
      <c r="AU454" s="12" t="s">
        <v>324</v>
      </c>
      <c r="AV454" s="12" t="s">
        <v>5731</v>
      </c>
      <c r="AW454" s="12"/>
      <c r="AX454" s="12">
        <v>523</v>
      </c>
      <c r="AY454" s="12">
        <v>1735</v>
      </c>
      <c r="AZ454" s="12">
        <v>523</v>
      </c>
      <c r="BA454" s="12" t="s">
        <v>1651</v>
      </c>
      <c r="BB454" s="12" t="s">
        <v>7050</v>
      </c>
      <c r="BC454" s="12" t="s">
        <v>7051</v>
      </c>
      <c r="BD454" s="12"/>
      <c r="BE454" s="12" t="s">
        <v>2291</v>
      </c>
      <c r="BF454" s="12"/>
      <c r="BG454" s="12"/>
      <c r="BH454" s="12"/>
      <c r="BI454" s="12"/>
      <c r="BJ454" s="12" t="s">
        <v>3220</v>
      </c>
      <c r="BK454" s="12"/>
      <c r="BL454" s="12" t="s">
        <v>2292</v>
      </c>
      <c r="BM454" s="12" t="s">
        <v>2292</v>
      </c>
      <c r="BN454" s="12" t="s">
        <v>2292</v>
      </c>
      <c r="BO454" s="12" t="s">
        <v>2291</v>
      </c>
      <c r="BP454" s="12"/>
      <c r="BQ454" s="12"/>
      <c r="BR454" s="12"/>
      <c r="BS454" s="12"/>
      <c r="BT454" s="12"/>
      <c r="BU454" s="12" t="s">
        <v>326</v>
      </c>
      <c r="BV454" s="12"/>
      <c r="BW454" s="12" t="s">
        <v>1652</v>
      </c>
      <c r="BX454" s="12"/>
      <c r="BY454" s="13" t="s">
        <v>313</v>
      </c>
      <c r="BZ454" s="13" t="s">
        <v>312</v>
      </c>
      <c r="CA454" s="13"/>
      <c r="CB454" s="13"/>
      <c r="CC454" s="13"/>
      <c r="CD454" s="13"/>
      <c r="CE454" s="13"/>
      <c r="CF454" s="13"/>
    </row>
    <row r="455" spans="1:84" ht="18.600000000000001" customHeight="1" x14ac:dyDescent="0.25">
      <c r="A455" s="60" t="s">
        <v>163</v>
      </c>
      <c r="B455" s="27" t="s">
        <v>1659</v>
      </c>
      <c r="C455" s="10" t="s">
        <v>3844</v>
      </c>
      <c r="D455" s="12" t="s">
        <v>3139</v>
      </c>
      <c r="E455" s="12" t="s">
        <v>3395</v>
      </c>
      <c r="F455" s="12" t="s">
        <v>3937</v>
      </c>
      <c r="G455" s="25">
        <v>0</v>
      </c>
      <c r="H455" s="25">
        <v>0</v>
      </c>
      <c r="I455" s="25">
        <v>0</v>
      </c>
      <c r="J455" s="25">
        <v>0</v>
      </c>
      <c r="K455" s="25">
        <v>0</v>
      </c>
      <c r="L455" s="25">
        <v>0</v>
      </c>
      <c r="M455" s="25">
        <v>0</v>
      </c>
      <c r="N455" s="31">
        <v>0</v>
      </c>
      <c r="O455" s="25">
        <v>0</v>
      </c>
      <c r="P455" s="25">
        <v>0</v>
      </c>
      <c r="Q455" s="25">
        <v>0</v>
      </c>
      <c r="R455" s="25">
        <v>0</v>
      </c>
      <c r="S455" s="25">
        <v>0</v>
      </c>
      <c r="T455" s="25">
        <v>0</v>
      </c>
      <c r="U455" s="61">
        <v>0</v>
      </c>
      <c r="V455" s="59"/>
      <c r="W455" s="12" t="s">
        <v>3926</v>
      </c>
      <c r="X455" s="12" t="s">
        <v>3926</v>
      </c>
      <c r="Y455" s="12" t="s">
        <v>3926</v>
      </c>
      <c r="Z455" s="12" t="s">
        <v>3926</v>
      </c>
      <c r="AA455" s="12" t="s">
        <v>3926</v>
      </c>
      <c r="AB455" s="25" t="s">
        <v>3927</v>
      </c>
      <c r="AC455" s="25">
        <v>0</v>
      </c>
      <c r="AD455" s="25">
        <v>0</v>
      </c>
      <c r="AE455" s="25">
        <v>0</v>
      </c>
      <c r="AF455" s="25">
        <v>0</v>
      </c>
      <c r="AG455" s="25">
        <v>0</v>
      </c>
      <c r="AH455" s="25">
        <v>0</v>
      </c>
      <c r="AI455" s="12">
        <v>0</v>
      </c>
      <c r="AJ455" s="25">
        <v>52019</v>
      </c>
      <c r="AK455" s="25">
        <v>4875</v>
      </c>
      <c r="AL455" s="33">
        <v>0.10340000000000001</v>
      </c>
      <c r="AM455" s="10" t="s">
        <v>3844</v>
      </c>
      <c r="AN455" s="12" t="s">
        <v>3395</v>
      </c>
      <c r="AO455" s="12" t="s">
        <v>3395</v>
      </c>
      <c r="AP455" s="12" t="str">
        <f>"1462957374004775"</f>
        <v>1462957374004775</v>
      </c>
      <c r="AQ455" s="12" t="s">
        <v>3139</v>
      </c>
      <c r="AR455" s="12"/>
      <c r="AS455" s="12" t="s">
        <v>3139</v>
      </c>
      <c r="AT455" s="12"/>
      <c r="AU455" s="12" t="s">
        <v>309</v>
      </c>
      <c r="AV455" s="12"/>
      <c r="AW455" s="12"/>
      <c r="AX455" s="12">
        <v>0</v>
      </c>
      <c r="AY455" s="12">
        <v>195</v>
      </c>
      <c r="AZ455" s="12">
        <v>0</v>
      </c>
      <c r="BA455" s="12" t="s">
        <v>3396</v>
      </c>
      <c r="BB455" s="12"/>
      <c r="BC455" s="12" t="s">
        <v>6291</v>
      </c>
      <c r="BD455" s="12"/>
      <c r="BE455" s="12" t="s">
        <v>2291</v>
      </c>
      <c r="BF455" s="12"/>
      <c r="BG455" s="12"/>
      <c r="BH455" s="12"/>
      <c r="BI455" s="12"/>
      <c r="BJ455" s="12"/>
      <c r="BK455" s="12"/>
      <c r="BL455" s="12" t="s">
        <v>2292</v>
      </c>
      <c r="BM455" s="12" t="s">
        <v>2292</v>
      </c>
      <c r="BN455" s="12" t="s">
        <v>2292</v>
      </c>
      <c r="BO455" s="12" t="s">
        <v>2292</v>
      </c>
      <c r="BP455" s="12"/>
      <c r="BQ455" s="12"/>
      <c r="BR455" s="12"/>
      <c r="BS455" s="12"/>
      <c r="BT455" s="12">
        <v>925310347</v>
      </c>
      <c r="BU455" s="12"/>
      <c r="BV455" s="12"/>
      <c r="BW455" s="12"/>
      <c r="BX455" s="12"/>
      <c r="BY455" s="13" t="s">
        <v>3704</v>
      </c>
      <c r="BZ455" s="13" t="s">
        <v>6172</v>
      </c>
      <c r="CA455" s="13"/>
      <c r="CB455" s="13"/>
      <c r="CC455" s="13"/>
      <c r="CD455" s="13"/>
      <c r="CE455" s="13"/>
      <c r="CF455" s="13"/>
    </row>
    <row r="456" spans="1:84" ht="18.600000000000001" customHeight="1" x14ac:dyDescent="0.25">
      <c r="A456" s="63" t="s">
        <v>163</v>
      </c>
      <c r="B456" s="27" t="s">
        <v>1659</v>
      </c>
      <c r="C456" s="3" t="s">
        <v>2314</v>
      </c>
      <c r="D456" s="12" t="s">
        <v>1654</v>
      </c>
      <c r="E456" s="12" t="s">
        <v>1653</v>
      </c>
      <c r="F456" s="12" t="s">
        <v>3952</v>
      </c>
      <c r="G456" s="25">
        <v>0</v>
      </c>
      <c r="H456" s="25">
        <v>0</v>
      </c>
      <c r="I456" s="25">
        <v>0</v>
      </c>
      <c r="J456" s="25">
        <v>0</v>
      </c>
      <c r="K456" s="25">
        <v>0</v>
      </c>
      <c r="L456" s="25">
        <v>0</v>
      </c>
      <c r="M456" s="25">
        <v>0</v>
      </c>
      <c r="N456" s="31">
        <v>0</v>
      </c>
      <c r="O456" s="25">
        <v>0</v>
      </c>
      <c r="P456" s="25">
        <v>0</v>
      </c>
      <c r="Q456" s="25">
        <v>0</v>
      </c>
      <c r="R456" s="25">
        <v>0</v>
      </c>
      <c r="S456" s="25">
        <v>0</v>
      </c>
      <c r="T456" s="25">
        <v>0</v>
      </c>
      <c r="U456" s="61">
        <v>0</v>
      </c>
      <c r="V456" s="59"/>
      <c r="W456" s="12" t="s">
        <v>3926</v>
      </c>
      <c r="X456" s="12" t="s">
        <v>3926</v>
      </c>
      <c r="Y456" s="12" t="s">
        <v>3926</v>
      </c>
      <c r="Z456" s="12" t="s">
        <v>3926</v>
      </c>
      <c r="AA456" s="12" t="s">
        <v>3926</v>
      </c>
      <c r="AB456" s="25" t="s">
        <v>3927</v>
      </c>
      <c r="AC456" s="25">
        <v>0</v>
      </c>
      <c r="AD456" s="25">
        <v>0</v>
      </c>
      <c r="AE456" s="25">
        <v>0</v>
      </c>
      <c r="AF456" s="25">
        <v>0</v>
      </c>
      <c r="AG456" s="25">
        <v>0</v>
      </c>
      <c r="AH456" s="25">
        <v>0</v>
      </c>
      <c r="AI456" s="12">
        <v>0</v>
      </c>
      <c r="AJ456" s="25">
        <v>12942</v>
      </c>
      <c r="AK456" s="25">
        <v>513</v>
      </c>
      <c r="AL456" s="33">
        <v>4.1300000000000003E-2</v>
      </c>
      <c r="AM456" s="3" t="s">
        <v>2314</v>
      </c>
      <c r="AN456" s="12" t="s">
        <v>1653</v>
      </c>
      <c r="AO456" s="12" t="s">
        <v>1653</v>
      </c>
      <c r="AP456" s="12" t="str">
        <f>"1437472433179147"</f>
        <v>1437472433179147</v>
      </c>
      <c r="AQ456" s="12" t="s">
        <v>1654</v>
      </c>
      <c r="AR456" s="12" t="s">
        <v>1655</v>
      </c>
      <c r="AS456" s="12" t="s">
        <v>1656</v>
      </c>
      <c r="AT456" s="12"/>
      <c r="AU456" s="12" t="s">
        <v>367</v>
      </c>
      <c r="AV456" s="12"/>
      <c r="AW456" s="12"/>
      <c r="AX456" s="12">
        <v>0</v>
      </c>
      <c r="AY456" s="12">
        <v>14</v>
      </c>
      <c r="AZ456" s="12">
        <v>0</v>
      </c>
      <c r="BA456" s="12" t="s">
        <v>1657</v>
      </c>
      <c r="BB456" s="12"/>
      <c r="BC456" s="12" t="s">
        <v>6310</v>
      </c>
      <c r="BD456" s="12"/>
      <c r="BE456" s="12" t="s">
        <v>2291</v>
      </c>
      <c r="BF456" s="12"/>
      <c r="BG456" s="12"/>
      <c r="BH456" s="12"/>
      <c r="BI456" s="12"/>
      <c r="BJ456" s="12"/>
      <c r="BK456" s="12"/>
      <c r="BL456" s="12" t="s">
        <v>2292</v>
      </c>
      <c r="BM456" s="12" t="s">
        <v>2292</v>
      </c>
      <c r="BN456" s="12" t="s">
        <v>2292</v>
      </c>
      <c r="BO456" s="12" t="s">
        <v>2292</v>
      </c>
      <c r="BP456" s="12"/>
      <c r="BQ456" s="12"/>
      <c r="BR456" s="12"/>
      <c r="BS456" s="12"/>
      <c r="BT456" s="12"/>
      <c r="BU456" s="12"/>
      <c r="BV456" s="12"/>
      <c r="BW456" s="12"/>
      <c r="BX456" s="12"/>
      <c r="BY456" s="13" t="s">
        <v>1658</v>
      </c>
      <c r="BZ456" s="13" t="s">
        <v>6170</v>
      </c>
      <c r="CA456" s="13" t="s">
        <v>6170</v>
      </c>
      <c r="CB456" s="13" t="s">
        <v>312</v>
      </c>
      <c r="CC456" s="13"/>
      <c r="CD456" s="13" t="s">
        <v>6198</v>
      </c>
      <c r="CE456" s="13"/>
      <c r="CF456" s="13"/>
    </row>
    <row r="457" spans="1:84" ht="18.600000000000001" customHeight="1" x14ac:dyDescent="0.25">
      <c r="A457" s="60" t="s">
        <v>163</v>
      </c>
      <c r="B457" s="2" t="s">
        <v>315</v>
      </c>
      <c r="C457" s="3" t="s">
        <v>3121</v>
      </c>
      <c r="D457" s="12" t="s">
        <v>1660</v>
      </c>
      <c r="E457" s="12"/>
      <c r="F457" s="12" t="s">
        <v>4476</v>
      </c>
      <c r="G457" s="25">
        <v>0</v>
      </c>
      <c r="H457" s="25">
        <v>0</v>
      </c>
      <c r="I457" s="25">
        <v>0</v>
      </c>
      <c r="J457" s="25">
        <v>0</v>
      </c>
      <c r="K457" s="25">
        <v>0</v>
      </c>
      <c r="L457" s="25">
        <v>0</v>
      </c>
      <c r="M457" s="25">
        <v>0</v>
      </c>
      <c r="N457" s="31">
        <v>0</v>
      </c>
      <c r="O457" s="25">
        <v>0</v>
      </c>
      <c r="P457" s="25">
        <v>0</v>
      </c>
      <c r="Q457" s="25">
        <v>0</v>
      </c>
      <c r="R457" s="25">
        <v>0</v>
      </c>
      <c r="S457" s="25">
        <v>0</v>
      </c>
      <c r="T457" s="25">
        <v>0</v>
      </c>
      <c r="U457" s="61">
        <v>0</v>
      </c>
      <c r="V457" s="59"/>
      <c r="W457" s="12" t="s">
        <v>3926</v>
      </c>
      <c r="X457" s="12" t="s">
        <v>3926</v>
      </c>
      <c r="Y457" s="12" t="s">
        <v>3926</v>
      </c>
      <c r="Z457" s="12" t="s">
        <v>3926</v>
      </c>
      <c r="AA457" s="12" t="s">
        <v>3926</v>
      </c>
      <c r="AB457" s="25" t="s">
        <v>3927</v>
      </c>
      <c r="AC457" s="25">
        <v>0</v>
      </c>
      <c r="AD457" s="25">
        <v>0</v>
      </c>
      <c r="AE457" s="25">
        <v>0</v>
      </c>
      <c r="AF457" s="25">
        <v>0</v>
      </c>
      <c r="AG457" s="25">
        <v>0</v>
      </c>
      <c r="AH457" s="25">
        <v>0</v>
      </c>
      <c r="AI457" s="12">
        <v>0</v>
      </c>
      <c r="AJ457" s="25">
        <v>516</v>
      </c>
      <c r="AK457" s="25">
        <v>130</v>
      </c>
      <c r="AL457" s="33">
        <v>0.33679999999999999</v>
      </c>
      <c r="AM457" s="3" t="s">
        <v>3121</v>
      </c>
      <c r="AN457" s="12" t="s">
        <v>5306</v>
      </c>
      <c r="AO457" s="12"/>
      <c r="AP457" s="12" t="str">
        <f>"548265471873786"</f>
        <v>548265471873786</v>
      </c>
      <c r="AQ457" s="12" t="s">
        <v>1660</v>
      </c>
      <c r="AR457" s="12" t="s">
        <v>1661</v>
      </c>
      <c r="AS457" s="12" t="s">
        <v>3105</v>
      </c>
      <c r="AT457" s="12"/>
      <c r="AU457" s="12" t="s">
        <v>324</v>
      </c>
      <c r="AV457" s="12"/>
      <c r="AW457" s="12"/>
      <c r="AX457" s="12">
        <v>0</v>
      </c>
      <c r="AY457" s="12">
        <v>6</v>
      </c>
      <c r="AZ457" s="12">
        <v>0</v>
      </c>
      <c r="BA457" s="12" t="s">
        <v>1662</v>
      </c>
      <c r="BB457" s="12"/>
      <c r="BC457" s="12"/>
      <c r="BD457" s="12"/>
      <c r="BE457" s="12" t="s">
        <v>2291</v>
      </c>
      <c r="BF457" s="12"/>
      <c r="BG457" s="12"/>
      <c r="BH457" s="12"/>
      <c r="BI457" s="12"/>
      <c r="BJ457" s="12"/>
      <c r="BK457" s="12"/>
      <c r="BL457" s="12" t="s">
        <v>2292</v>
      </c>
      <c r="BM457" s="12" t="s">
        <v>2292</v>
      </c>
      <c r="BN457" s="12" t="s">
        <v>2292</v>
      </c>
      <c r="BO457" s="12" t="s">
        <v>2292</v>
      </c>
      <c r="BP457" s="12"/>
      <c r="BQ457" s="12"/>
      <c r="BR457" s="12"/>
      <c r="BS457" s="12"/>
      <c r="BT457" s="12"/>
      <c r="BU457" s="12"/>
      <c r="BV457" s="12"/>
      <c r="BW457" s="12"/>
      <c r="BX457" s="12"/>
      <c r="BY457" s="14" t="s">
        <v>1663</v>
      </c>
      <c r="BZ457" s="13" t="s">
        <v>6170</v>
      </c>
      <c r="CA457" s="13" t="s">
        <v>6170</v>
      </c>
      <c r="CB457" s="13" t="s">
        <v>312</v>
      </c>
      <c r="CC457" s="13"/>
      <c r="CD457" s="13" t="s">
        <v>6198</v>
      </c>
      <c r="CE457" s="13" t="s">
        <v>6184</v>
      </c>
      <c r="CF457" s="13"/>
    </row>
    <row r="458" spans="1:84" ht="18.600000000000001" customHeight="1" x14ac:dyDescent="0.25">
      <c r="A458" s="60" t="s">
        <v>163</v>
      </c>
      <c r="B458" s="2" t="s">
        <v>335</v>
      </c>
      <c r="C458" s="3" t="s">
        <v>5726</v>
      </c>
      <c r="D458" s="12" t="s">
        <v>5921</v>
      </c>
      <c r="E458" s="12" t="s">
        <v>5920</v>
      </c>
      <c r="F458" s="12" t="s">
        <v>6078</v>
      </c>
      <c r="G458" s="25">
        <v>8310</v>
      </c>
      <c r="H458" s="25">
        <v>6114</v>
      </c>
      <c r="I458" s="25">
        <v>116</v>
      </c>
      <c r="J458" s="25">
        <v>1701</v>
      </c>
      <c r="K458" s="25">
        <v>1621</v>
      </c>
      <c r="L458" s="25">
        <v>1584</v>
      </c>
      <c r="M458" s="25">
        <v>3205</v>
      </c>
      <c r="N458" s="31">
        <v>0.51</v>
      </c>
      <c r="O458" s="25">
        <v>1959</v>
      </c>
      <c r="P458" s="25">
        <v>935</v>
      </c>
      <c r="Q458" s="25">
        <v>369</v>
      </c>
      <c r="R458" s="25">
        <v>4</v>
      </c>
      <c r="S458" s="25">
        <v>2</v>
      </c>
      <c r="T458" s="25">
        <v>4</v>
      </c>
      <c r="U458" s="61">
        <v>0</v>
      </c>
      <c r="V458" s="58">
        <v>1.0999999999999999E-2</v>
      </c>
      <c r="W458" s="33">
        <v>1.14E-2</v>
      </c>
      <c r="X458" s="33">
        <v>1.11E-2</v>
      </c>
      <c r="Y458" s="12" t="s">
        <v>3926</v>
      </c>
      <c r="Z458" s="33">
        <v>1.2999999999999999E-2</v>
      </c>
      <c r="AA458" s="33">
        <v>6.0000000000000001E-3</v>
      </c>
      <c r="AB458" s="25">
        <v>247</v>
      </c>
      <c r="AC458" s="25">
        <v>91</v>
      </c>
      <c r="AD458" s="25">
        <v>142</v>
      </c>
      <c r="AE458" s="25">
        <v>0</v>
      </c>
      <c r="AF458" s="25">
        <v>4</v>
      </c>
      <c r="AG458" s="25">
        <v>7</v>
      </c>
      <c r="AH458" s="25">
        <v>3</v>
      </c>
      <c r="AI458" s="12">
        <v>0.56000000000000005</v>
      </c>
      <c r="AJ458" s="25">
        <v>3218</v>
      </c>
      <c r="AK458" s="25">
        <v>0</v>
      </c>
      <c r="AL458" s="31">
        <v>0</v>
      </c>
      <c r="AM458" s="3" t="s">
        <v>5726</v>
      </c>
      <c r="AN458" s="12" t="s">
        <v>5920</v>
      </c>
      <c r="AO458" s="12" t="s">
        <v>5920</v>
      </c>
      <c r="AP458" s="12" t="str">
        <f>"141437513242756"</f>
        <v>141437513242756</v>
      </c>
      <c r="AQ458" s="12" t="s">
        <v>5921</v>
      </c>
      <c r="AR458" s="12"/>
      <c r="AS458" s="12" t="s">
        <v>5922</v>
      </c>
      <c r="AT458" s="12"/>
      <c r="AU458" s="12" t="s">
        <v>324</v>
      </c>
      <c r="AV458" s="12" t="s">
        <v>5731</v>
      </c>
      <c r="AW458" s="12"/>
      <c r="AX458" s="12">
        <v>13</v>
      </c>
      <c r="AY458" s="12">
        <v>779</v>
      </c>
      <c r="AZ458" s="12">
        <v>13</v>
      </c>
      <c r="BA458" s="12" t="s">
        <v>5923</v>
      </c>
      <c r="BB458" s="12" t="s">
        <v>6921</v>
      </c>
      <c r="BC458" s="12" t="s">
        <v>6922</v>
      </c>
      <c r="BD458" s="12"/>
      <c r="BE458" s="12" t="s">
        <v>2291</v>
      </c>
      <c r="BF458" s="12"/>
      <c r="BG458" s="12"/>
      <c r="BH458" s="12"/>
      <c r="BI458" s="12" t="s">
        <v>5922</v>
      </c>
      <c r="BJ458" s="12"/>
      <c r="BK458" s="12" t="s">
        <v>6512</v>
      </c>
      <c r="BL458" s="12" t="s">
        <v>2292</v>
      </c>
      <c r="BM458" s="12" t="s">
        <v>2292</v>
      </c>
      <c r="BN458" s="12" t="s">
        <v>2292</v>
      </c>
      <c r="BO458" s="12" t="s">
        <v>2292</v>
      </c>
      <c r="BP458" s="12" t="s">
        <v>5922</v>
      </c>
      <c r="BQ458" s="12"/>
      <c r="BR458" s="12"/>
      <c r="BS458" s="12"/>
      <c r="BT458" s="12">
        <v>351.21394600000002</v>
      </c>
      <c r="BU458" s="12" t="s">
        <v>326</v>
      </c>
      <c r="BV458" s="12"/>
      <c r="BW458" s="12" t="s">
        <v>5924</v>
      </c>
      <c r="BX458" s="12"/>
      <c r="BY458" s="13" t="s">
        <v>313</v>
      </c>
      <c r="BZ458" s="13" t="s">
        <v>6174</v>
      </c>
      <c r="CA458" s="13" t="s">
        <v>6170</v>
      </c>
      <c r="CB458" s="13" t="s">
        <v>312</v>
      </c>
      <c r="CC458" s="13"/>
      <c r="CD458" s="13" t="s">
        <v>6195</v>
      </c>
      <c r="CE458" s="13"/>
      <c r="CF458" s="13"/>
    </row>
    <row r="459" spans="1:84" ht="18.600000000000001" customHeight="1" x14ac:dyDescent="0.25">
      <c r="A459" s="60" t="s">
        <v>164</v>
      </c>
      <c r="B459" s="2" t="s">
        <v>1667</v>
      </c>
      <c r="C459" s="3" t="s">
        <v>2648</v>
      </c>
      <c r="D459" s="12" t="s">
        <v>1664</v>
      </c>
      <c r="E459" s="12" t="s">
        <v>1665</v>
      </c>
      <c r="F459" s="12" t="s">
        <v>4138</v>
      </c>
      <c r="G459" s="25">
        <v>3398664</v>
      </c>
      <c r="H459" s="25">
        <v>2748914</v>
      </c>
      <c r="I459" s="25">
        <v>162024</v>
      </c>
      <c r="J459" s="25">
        <v>295526</v>
      </c>
      <c r="K459" s="25">
        <v>7128405</v>
      </c>
      <c r="L459" s="25">
        <v>6378016</v>
      </c>
      <c r="M459" s="25">
        <v>13506421</v>
      </c>
      <c r="N459" s="31">
        <v>0.53</v>
      </c>
      <c r="O459" s="25">
        <v>67531</v>
      </c>
      <c r="P459" s="25">
        <v>1457203</v>
      </c>
      <c r="Q459" s="25">
        <v>113130</v>
      </c>
      <c r="R459" s="25">
        <v>6223</v>
      </c>
      <c r="S459" s="25">
        <v>9180</v>
      </c>
      <c r="T459" s="25">
        <v>34503</v>
      </c>
      <c r="U459" s="61">
        <v>29134</v>
      </c>
      <c r="V459" s="58">
        <v>1.37E-2</v>
      </c>
      <c r="W459" s="33">
        <v>1.04E-2</v>
      </c>
      <c r="X459" s="12" t="s">
        <v>3926</v>
      </c>
      <c r="Y459" s="33">
        <v>1.9099999999999999E-2</v>
      </c>
      <c r="Z459" s="33">
        <v>2.1999999999999999E-2</v>
      </c>
      <c r="AA459" s="33">
        <v>2.3999999999999998E-3</v>
      </c>
      <c r="AB459" s="25">
        <v>138</v>
      </c>
      <c r="AC459" s="25">
        <v>88</v>
      </c>
      <c r="AD459" s="25">
        <v>0</v>
      </c>
      <c r="AE459" s="25">
        <v>22</v>
      </c>
      <c r="AF459" s="25">
        <v>26</v>
      </c>
      <c r="AG459" s="25">
        <v>1</v>
      </c>
      <c r="AH459" s="25">
        <v>1</v>
      </c>
      <c r="AI459" s="12">
        <v>0.31</v>
      </c>
      <c r="AJ459" s="25">
        <v>1813422</v>
      </c>
      <c r="AK459" s="25">
        <v>103524</v>
      </c>
      <c r="AL459" s="33">
        <v>6.0499999999999998E-2</v>
      </c>
      <c r="AM459" s="3" t="s">
        <v>2648</v>
      </c>
      <c r="AN459" s="12" t="s">
        <v>1665</v>
      </c>
      <c r="AO459" s="12" t="s">
        <v>1665</v>
      </c>
      <c r="AP459" s="12" t="str">
        <f>"632184113535510"</f>
        <v>632184113535510</v>
      </c>
      <c r="AQ459" s="12" t="s">
        <v>1664</v>
      </c>
      <c r="AR459" s="12" t="s">
        <v>4579</v>
      </c>
      <c r="AS459" s="12"/>
      <c r="AT459" s="12" t="s">
        <v>2649</v>
      </c>
      <c r="AU459" s="12" t="s">
        <v>319</v>
      </c>
      <c r="AV459" s="12"/>
      <c r="AW459" s="12"/>
      <c r="AX459" s="12">
        <v>0</v>
      </c>
      <c r="AY459" s="12">
        <v>16850</v>
      </c>
      <c r="AZ459" s="12">
        <v>0</v>
      </c>
      <c r="BA459" s="12" t="s">
        <v>1666</v>
      </c>
      <c r="BB459" s="12"/>
      <c r="BC459" s="12" t="s">
        <v>6744</v>
      </c>
      <c r="BD459" s="12"/>
      <c r="BE459" s="12" t="s">
        <v>2291</v>
      </c>
      <c r="BF459" s="12"/>
      <c r="BG459" s="12"/>
      <c r="BH459" s="12"/>
      <c r="BI459" s="12"/>
      <c r="BJ459" s="12"/>
      <c r="BK459" s="12"/>
      <c r="BL459" s="12" t="s">
        <v>2292</v>
      </c>
      <c r="BM459" s="12" t="s">
        <v>2292</v>
      </c>
      <c r="BN459" s="12" t="s">
        <v>2292</v>
      </c>
      <c r="BO459" s="12" t="s">
        <v>2291</v>
      </c>
      <c r="BP459" s="12"/>
      <c r="BQ459" s="12"/>
      <c r="BR459" s="12"/>
      <c r="BS459" s="12"/>
      <c r="BT459" s="12"/>
      <c r="BU459" s="12"/>
      <c r="BV459" s="12"/>
      <c r="BW459" s="12"/>
      <c r="BX459" s="12"/>
      <c r="BY459" s="13" t="s">
        <v>313</v>
      </c>
      <c r="BZ459" s="13" t="s">
        <v>6170</v>
      </c>
      <c r="CA459" s="13" t="s">
        <v>6170</v>
      </c>
      <c r="CB459" s="13" t="s">
        <v>312</v>
      </c>
      <c r="CC459" s="13"/>
      <c r="CD459" s="13" t="s">
        <v>6198</v>
      </c>
      <c r="CE459" s="13"/>
      <c r="CF459" s="13"/>
    </row>
    <row r="460" spans="1:84" ht="18.600000000000001" customHeight="1" x14ac:dyDescent="0.25">
      <c r="A460" s="60" t="s">
        <v>164</v>
      </c>
      <c r="B460" s="2" t="s">
        <v>315</v>
      </c>
      <c r="C460" s="3" t="s">
        <v>2558</v>
      </c>
      <c r="D460" s="12" t="s">
        <v>1668</v>
      </c>
      <c r="E460" s="12" t="s">
        <v>1669</v>
      </c>
      <c r="F460" s="12" t="s">
        <v>4094</v>
      </c>
      <c r="G460" s="25">
        <v>205442</v>
      </c>
      <c r="H460" s="25">
        <v>107575</v>
      </c>
      <c r="I460" s="25">
        <v>39886</v>
      </c>
      <c r="J460" s="25">
        <v>41055</v>
      </c>
      <c r="K460" s="25">
        <v>894727</v>
      </c>
      <c r="L460" s="25">
        <v>1685575</v>
      </c>
      <c r="M460" s="25">
        <v>2580302</v>
      </c>
      <c r="N460" s="31">
        <v>0.35</v>
      </c>
      <c r="O460" s="25">
        <v>52147</v>
      </c>
      <c r="P460" s="25">
        <v>397018</v>
      </c>
      <c r="Q460" s="25">
        <v>4992</v>
      </c>
      <c r="R460" s="25">
        <v>800</v>
      </c>
      <c r="S460" s="25">
        <v>3424</v>
      </c>
      <c r="T460" s="25">
        <v>978</v>
      </c>
      <c r="U460" s="61">
        <v>6729</v>
      </c>
      <c r="V460" s="58">
        <v>3.8999999999999998E-3</v>
      </c>
      <c r="W460" s="33">
        <v>3.3E-3</v>
      </c>
      <c r="X460" s="33">
        <v>3.0999999999999999E-3</v>
      </c>
      <c r="Y460" s="33">
        <v>5.7999999999999996E-3</v>
      </c>
      <c r="Z460" s="33">
        <v>8.6999999999999994E-3</v>
      </c>
      <c r="AA460" s="33">
        <v>1.6999999999999999E-3</v>
      </c>
      <c r="AB460" s="25">
        <v>917</v>
      </c>
      <c r="AC460" s="25">
        <v>406</v>
      </c>
      <c r="AD460" s="25">
        <v>292</v>
      </c>
      <c r="AE460" s="25">
        <v>13</v>
      </c>
      <c r="AF460" s="25">
        <v>155</v>
      </c>
      <c r="AG460" s="25">
        <v>25</v>
      </c>
      <c r="AH460" s="25">
        <v>26</v>
      </c>
      <c r="AI460" s="12">
        <v>2.09</v>
      </c>
      <c r="AJ460" s="25">
        <v>65145</v>
      </c>
      <c r="AK460" s="25">
        <v>25968</v>
      </c>
      <c r="AL460" s="33">
        <v>0.66279999999999994</v>
      </c>
      <c r="AM460" s="3" t="s">
        <v>2558</v>
      </c>
      <c r="AN460" s="12" t="s">
        <v>1669</v>
      </c>
      <c r="AO460" s="12" t="s">
        <v>1669</v>
      </c>
      <c r="AP460" s="12" t="str">
        <f>"304735519648377"</f>
        <v>304735519648377</v>
      </c>
      <c r="AQ460" s="12" t="s">
        <v>1668</v>
      </c>
      <c r="AR460" s="12" t="s">
        <v>1670</v>
      </c>
      <c r="AS460" s="12" t="s">
        <v>2559</v>
      </c>
      <c r="AT460" s="12"/>
      <c r="AU460" s="12" t="s">
        <v>5257</v>
      </c>
      <c r="AV460" s="12" t="s">
        <v>5835</v>
      </c>
      <c r="AW460" s="12" t="s">
        <v>1671</v>
      </c>
      <c r="AX460" s="12">
        <v>77213</v>
      </c>
      <c r="AY460" s="12">
        <v>687</v>
      </c>
      <c r="AZ460" s="12">
        <v>0</v>
      </c>
      <c r="BA460" s="12" t="s">
        <v>1672</v>
      </c>
      <c r="BB460" s="12" t="s">
        <v>6633</v>
      </c>
      <c r="BC460" s="12" t="s">
        <v>6634</v>
      </c>
      <c r="BD460" s="12"/>
      <c r="BE460" s="12" t="s">
        <v>2291</v>
      </c>
      <c r="BF460" s="12"/>
      <c r="BG460" s="12"/>
      <c r="BH460" s="12"/>
      <c r="BI460" s="12" t="s">
        <v>5310</v>
      </c>
      <c r="BJ460" s="12" t="s">
        <v>5836</v>
      </c>
      <c r="BK460" s="12"/>
      <c r="BL460" s="12" t="s">
        <v>2292</v>
      </c>
      <c r="BM460" s="12" t="s">
        <v>2292</v>
      </c>
      <c r="BN460" s="12" t="s">
        <v>2292</v>
      </c>
      <c r="BO460" s="12" t="s">
        <v>2291</v>
      </c>
      <c r="BP460" s="12"/>
      <c r="BQ460" s="12"/>
      <c r="BR460" s="12"/>
      <c r="BS460" s="12"/>
      <c r="BT460" s="12" t="s">
        <v>2560</v>
      </c>
      <c r="BU460" s="12" t="s">
        <v>326</v>
      </c>
      <c r="BV460" s="12"/>
      <c r="BW460" s="12" t="s">
        <v>5573</v>
      </c>
      <c r="BX460" s="12"/>
      <c r="BY460" s="13" t="s">
        <v>313</v>
      </c>
      <c r="BZ460" s="13" t="s">
        <v>6168</v>
      </c>
      <c r="CA460" s="13"/>
      <c r="CB460" s="13"/>
      <c r="CC460" s="13"/>
      <c r="CD460" s="13"/>
      <c r="CE460" s="13"/>
      <c r="CF460" s="13" t="s">
        <v>6178</v>
      </c>
    </row>
    <row r="461" spans="1:84" ht="18.600000000000001" customHeight="1" x14ac:dyDescent="0.25">
      <c r="A461" s="60" t="s">
        <v>164</v>
      </c>
      <c r="B461" s="2" t="s">
        <v>5007</v>
      </c>
      <c r="C461" s="3" t="s">
        <v>5008</v>
      </c>
      <c r="D461" s="12" t="s">
        <v>5009</v>
      </c>
      <c r="E461" s="12" t="s">
        <v>5165</v>
      </c>
      <c r="F461" s="12" t="s">
        <v>5166</v>
      </c>
      <c r="G461" s="25">
        <v>22008</v>
      </c>
      <c r="H461" s="25">
        <v>18455</v>
      </c>
      <c r="I461" s="25">
        <v>1483</v>
      </c>
      <c r="J461" s="25">
        <v>1477</v>
      </c>
      <c r="K461" s="25">
        <v>2414</v>
      </c>
      <c r="L461" s="25">
        <v>2107</v>
      </c>
      <c r="M461" s="25">
        <v>4521</v>
      </c>
      <c r="N461" s="31">
        <v>0.53</v>
      </c>
      <c r="O461" s="25">
        <v>537</v>
      </c>
      <c r="P461" s="25">
        <v>0</v>
      </c>
      <c r="Q461" s="25">
        <v>346</v>
      </c>
      <c r="R461" s="25">
        <v>25</v>
      </c>
      <c r="S461" s="25">
        <v>38</v>
      </c>
      <c r="T461" s="25">
        <v>76</v>
      </c>
      <c r="U461" s="61">
        <v>108</v>
      </c>
      <c r="V461" s="58">
        <v>3.9300000000000002E-2</v>
      </c>
      <c r="W461" s="33">
        <v>4.2299999999999997E-2</v>
      </c>
      <c r="X461" s="33">
        <v>3.0300000000000001E-2</v>
      </c>
      <c r="Y461" s="33">
        <v>1.8700000000000001E-2</v>
      </c>
      <c r="Z461" s="33">
        <v>6.88E-2</v>
      </c>
      <c r="AA461" s="33">
        <v>1.29E-2</v>
      </c>
      <c r="AB461" s="25">
        <v>179</v>
      </c>
      <c r="AC461" s="25">
        <v>118</v>
      </c>
      <c r="AD461" s="25">
        <v>35</v>
      </c>
      <c r="AE461" s="25">
        <v>18</v>
      </c>
      <c r="AF461" s="25">
        <v>3</v>
      </c>
      <c r="AG461" s="25">
        <v>1</v>
      </c>
      <c r="AH461" s="25">
        <v>4</v>
      </c>
      <c r="AI461" s="12">
        <v>0.41</v>
      </c>
      <c r="AJ461" s="25">
        <v>4260</v>
      </c>
      <c r="AK461" s="25">
        <v>0</v>
      </c>
      <c r="AL461" s="31">
        <v>0</v>
      </c>
      <c r="AM461" s="3" t="s">
        <v>5008</v>
      </c>
      <c r="AN461" s="12" t="s">
        <v>5165</v>
      </c>
      <c r="AO461" s="12" t="s">
        <v>5165</v>
      </c>
      <c r="AP461" s="12" t="str">
        <f>"100124197114101"</f>
        <v>100124197114101</v>
      </c>
      <c r="AQ461" s="12" t="s">
        <v>5009</v>
      </c>
      <c r="AR461" s="12"/>
      <c r="AS461" s="12"/>
      <c r="AT461" s="12"/>
      <c r="AU461" s="12" t="s">
        <v>5375</v>
      </c>
      <c r="AV461" s="12"/>
      <c r="AW461" s="12"/>
      <c r="AX461" s="12">
        <v>0</v>
      </c>
      <c r="AY461" s="12">
        <v>810</v>
      </c>
      <c r="AZ461" s="12">
        <v>0</v>
      </c>
      <c r="BA461" s="12" t="s">
        <v>5481</v>
      </c>
      <c r="BB461" s="12"/>
      <c r="BC461" s="12" t="s">
        <v>7316</v>
      </c>
      <c r="BD461" s="12"/>
      <c r="BE461" s="12" t="s">
        <v>2291</v>
      </c>
      <c r="BF461" s="12"/>
      <c r="BG461" s="12"/>
      <c r="BH461" s="12"/>
      <c r="BI461" s="12"/>
      <c r="BJ461" s="12"/>
      <c r="BK461" s="12"/>
      <c r="BL461" s="12" t="s">
        <v>2292</v>
      </c>
      <c r="BM461" s="12" t="s">
        <v>2292</v>
      </c>
      <c r="BN461" s="12" t="s">
        <v>2292</v>
      </c>
      <c r="BO461" s="12" t="s">
        <v>2291</v>
      </c>
      <c r="BP461" s="12"/>
      <c r="BQ461" s="12"/>
      <c r="BR461" s="12"/>
      <c r="BS461" s="12"/>
      <c r="BT461" s="12"/>
      <c r="BU461" s="12"/>
      <c r="BV461" s="12"/>
      <c r="BW461" s="12"/>
      <c r="BX461" s="12"/>
      <c r="BY461" s="13" t="s">
        <v>313</v>
      </c>
      <c r="BZ461" s="13" t="s">
        <v>6170</v>
      </c>
      <c r="CA461" s="13" t="s">
        <v>6170</v>
      </c>
      <c r="CB461" s="13" t="s">
        <v>6197</v>
      </c>
      <c r="CC461" s="13"/>
      <c r="CD461" s="13" t="s">
        <v>6198</v>
      </c>
      <c r="CE461" s="13"/>
      <c r="CF461" s="13"/>
    </row>
    <row r="462" spans="1:84" ht="18.600000000000001" customHeight="1" x14ac:dyDescent="0.25">
      <c r="A462" s="60" t="s">
        <v>164</v>
      </c>
      <c r="B462" s="2" t="s">
        <v>335</v>
      </c>
      <c r="C462" s="3" t="s">
        <v>2668</v>
      </c>
      <c r="D462" s="12" t="s">
        <v>1674</v>
      </c>
      <c r="E462" s="12" t="s">
        <v>1673</v>
      </c>
      <c r="F462" s="12" t="s">
        <v>4155</v>
      </c>
      <c r="G462" s="25">
        <v>47198</v>
      </c>
      <c r="H462" s="25">
        <v>35903</v>
      </c>
      <c r="I462" s="25">
        <v>1188</v>
      </c>
      <c r="J462" s="25">
        <v>8668</v>
      </c>
      <c r="K462" s="25">
        <v>20306</v>
      </c>
      <c r="L462" s="25">
        <v>38392</v>
      </c>
      <c r="M462" s="25">
        <v>58698</v>
      </c>
      <c r="N462" s="31">
        <v>0.35</v>
      </c>
      <c r="O462" s="25">
        <v>21663</v>
      </c>
      <c r="P462" s="25">
        <v>8526</v>
      </c>
      <c r="Q462" s="25">
        <v>828</v>
      </c>
      <c r="R462" s="25">
        <v>113</v>
      </c>
      <c r="S462" s="25">
        <v>82</v>
      </c>
      <c r="T462" s="25">
        <v>344</v>
      </c>
      <c r="U462" s="61">
        <v>72</v>
      </c>
      <c r="V462" s="58">
        <v>3.5999999999999999E-3</v>
      </c>
      <c r="W462" s="33">
        <v>4.3E-3</v>
      </c>
      <c r="X462" s="33">
        <v>2.5999999999999999E-3</v>
      </c>
      <c r="Y462" s="33">
        <v>1.4E-3</v>
      </c>
      <c r="Z462" s="33">
        <v>7.1999999999999998E-3</v>
      </c>
      <c r="AA462" s="33">
        <v>1.1000000000000001E-3</v>
      </c>
      <c r="AB462" s="25">
        <v>461</v>
      </c>
      <c r="AC462" s="25">
        <v>303</v>
      </c>
      <c r="AD462" s="25">
        <v>94</v>
      </c>
      <c r="AE462" s="25">
        <v>11</v>
      </c>
      <c r="AF462" s="25">
        <v>9</v>
      </c>
      <c r="AG462" s="25">
        <v>27</v>
      </c>
      <c r="AH462" s="25">
        <v>17</v>
      </c>
      <c r="AI462" s="12">
        <v>1.05</v>
      </c>
      <c r="AJ462" s="25">
        <v>30277</v>
      </c>
      <c r="AK462" s="25">
        <v>5354</v>
      </c>
      <c r="AL462" s="33">
        <v>0.21479999999999999</v>
      </c>
      <c r="AM462" s="3" t="s">
        <v>2668</v>
      </c>
      <c r="AN462" s="12" t="s">
        <v>1673</v>
      </c>
      <c r="AO462" s="12" t="s">
        <v>1673</v>
      </c>
      <c r="AP462" s="12" t="str">
        <f>"151413047167"</f>
        <v>151413047167</v>
      </c>
      <c r="AQ462" s="12" t="s">
        <v>1674</v>
      </c>
      <c r="AR462" s="12" t="s">
        <v>4908</v>
      </c>
      <c r="AS462" s="12" t="s">
        <v>1675</v>
      </c>
      <c r="AT462" s="12"/>
      <c r="AU462" s="12" t="s">
        <v>324</v>
      </c>
      <c r="AV462" s="12" t="s">
        <v>5731</v>
      </c>
      <c r="AW462" s="12"/>
      <c r="AX462" s="12">
        <v>2668</v>
      </c>
      <c r="AY462" s="12">
        <v>747</v>
      </c>
      <c r="AZ462" s="12">
        <v>0</v>
      </c>
      <c r="BA462" s="12" t="s">
        <v>1676</v>
      </c>
      <c r="BB462" s="12" t="s">
        <v>6778</v>
      </c>
      <c r="BC462" s="12" t="s">
        <v>6779</v>
      </c>
      <c r="BD462" s="12"/>
      <c r="BE462" s="12" t="s">
        <v>2291</v>
      </c>
      <c r="BF462" s="12"/>
      <c r="BG462" s="12"/>
      <c r="BH462" s="12"/>
      <c r="BI462" s="12" t="s">
        <v>4585</v>
      </c>
      <c r="BJ462" s="12"/>
      <c r="BK462" s="12"/>
      <c r="BL462" s="12" t="s">
        <v>2292</v>
      </c>
      <c r="BM462" s="12" t="s">
        <v>2292</v>
      </c>
      <c r="BN462" s="12" t="s">
        <v>2292</v>
      </c>
      <c r="BO462" s="12" t="s">
        <v>2291</v>
      </c>
      <c r="BP462" s="12"/>
      <c r="BQ462" s="12"/>
      <c r="BR462" s="12"/>
      <c r="BS462" s="12"/>
      <c r="BT462" s="12" t="s">
        <v>2669</v>
      </c>
      <c r="BU462" s="12" t="s">
        <v>326</v>
      </c>
      <c r="BV462" s="12"/>
      <c r="BW462" s="12" t="s">
        <v>1677</v>
      </c>
      <c r="BX462" s="12"/>
      <c r="BY462" s="13" t="s">
        <v>313</v>
      </c>
      <c r="BZ462" s="13" t="s">
        <v>312</v>
      </c>
      <c r="CA462" s="13"/>
      <c r="CB462" s="13"/>
      <c r="CC462" s="13"/>
      <c r="CD462" s="13"/>
      <c r="CE462" s="13"/>
      <c r="CF462" s="13"/>
    </row>
    <row r="463" spans="1:84" ht="18.600000000000001" customHeight="1" x14ac:dyDescent="0.25">
      <c r="A463" s="60" t="s">
        <v>165</v>
      </c>
      <c r="B463" s="2" t="s">
        <v>1682</v>
      </c>
      <c r="C463" s="3" t="s">
        <v>2434</v>
      </c>
      <c r="D463" s="12" t="s">
        <v>1678</v>
      </c>
      <c r="E463" s="12" t="s">
        <v>1679</v>
      </c>
      <c r="F463" s="12" t="s">
        <v>4014</v>
      </c>
      <c r="G463" s="25">
        <v>406764</v>
      </c>
      <c r="H463" s="25">
        <v>298633</v>
      </c>
      <c r="I463" s="25">
        <v>34743</v>
      </c>
      <c r="J463" s="25">
        <v>31175</v>
      </c>
      <c r="K463" s="25">
        <v>108451</v>
      </c>
      <c r="L463" s="25">
        <v>40980</v>
      </c>
      <c r="M463" s="25">
        <v>149431</v>
      </c>
      <c r="N463" s="31">
        <v>0.73</v>
      </c>
      <c r="O463" s="25">
        <v>0</v>
      </c>
      <c r="P463" s="25">
        <v>0</v>
      </c>
      <c r="Q463" s="25">
        <v>20548</v>
      </c>
      <c r="R463" s="25">
        <v>1679</v>
      </c>
      <c r="S463" s="25">
        <v>6638</v>
      </c>
      <c r="T463" s="25">
        <v>12242</v>
      </c>
      <c r="U463" s="61">
        <v>1097</v>
      </c>
      <c r="V463" s="58">
        <v>6.9999999999999999E-4</v>
      </c>
      <c r="W463" s="33">
        <v>6.9999999999999999E-4</v>
      </c>
      <c r="X463" s="33">
        <v>5.9999999999999995E-4</v>
      </c>
      <c r="Y463" s="33">
        <v>1.1999999999999999E-3</v>
      </c>
      <c r="Z463" s="33">
        <v>3.5999999999999999E-3</v>
      </c>
      <c r="AA463" s="33">
        <v>2.0000000000000001E-4</v>
      </c>
      <c r="AB463" s="25">
        <v>387</v>
      </c>
      <c r="AC463" s="25">
        <v>280</v>
      </c>
      <c r="AD463" s="25">
        <v>2</v>
      </c>
      <c r="AE463" s="25">
        <v>38</v>
      </c>
      <c r="AF463" s="25">
        <v>3</v>
      </c>
      <c r="AG463" s="25">
        <v>0</v>
      </c>
      <c r="AH463" s="25">
        <v>64</v>
      </c>
      <c r="AI463" s="12">
        <v>0.88</v>
      </c>
      <c r="AJ463" s="25">
        <v>1441044</v>
      </c>
      <c r="AK463" s="25">
        <v>-26321</v>
      </c>
      <c r="AL463" s="33">
        <v>-1.7899999999999999E-2</v>
      </c>
      <c r="AM463" s="3" t="s">
        <v>2434</v>
      </c>
      <c r="AN463" s="12" t="s">
        <v>1679</v>
      </c>
      <c r="AO463" s="12" t="s">
        <v>1679</v>
      </c>
      <c r="AP463" s="12" t="str">
        <f>"175517041850"</f>
        <v>175517041850</v>
      </c>
      <c r="AQ463" s="12" t="s">
        <v>1678</v>
      </c>
      <c r="AR463" s="12" t="s">
        <v>3826</v>
      </c>
      <c r="AS463" s="12" t="s">
        <v>1680</v>
      </c>
      <c r="AT463" s="12"/>
      <c r="AU463" s="12" t="s">
        <v>309</v>
      </c>
      <c r="AV463" s="12"/>
      <c r="AW463" s="12"/>
      <c r="AX463" s="12">
        <v>0</v>
      </c>
      <c r="AY463" s="12">
        <v>5964</v>
      </c>
      <c r="AZ463" s="12">
        <v>0</v>
      </c>
      <c r="BA463" s="12" t="s">
        <v>1681</v>
      </c>
      <c r="BB463" s="12"/>
      <c r="BC463" s="12" t="s">
        <v>6464</v>
      </c>
      <c r="BD463" s="12"/>
      <c r="BE463" s="12" t="s">
        <v>2291</v>
      </c>
      <c r="BF463" s="12"/>
      <c r="BG463" s="12"/>
      <c r="BH463" s="12"/>
      <c r="BI463" s="12"/>
      <c r="BJ463" s="12"/>
      <c r="BK463" s="12"/>
      <c r="BL463" s="12" t="s">
        <v>2292</v>
      </c>
      <c r="BM463" s="12" t="s">
        <v>2292</v>
      </c>
      <c r="BN463" s="12" t="s">
        <v>2292</v>
      </c>
      <c r="BO463" s="12" t="s">
        <v>2291</v>
      </c>
      <c r="BP463" s="12"/>
      <c r="BQ463" s="12"/>
      <c r="BR463" s="12"/>
      <c r="BS463" s="12"/>
      <c r="BT463" s="12"/>
      <c r="BU463" s="12"/>
      <c r="BV463" s="12"/>
      <c r="BW463" s="12"/>
      <c r="BX463" s="12"/>
      <c r="BY463" s="13" t="s">
        <v>313</v>
      </c>
      <c r="BZ463" s="13" t="s">
        <v>6170</v>
      </c>
      <c r="CA463" s="13" t="s">
        <v>6170</v>
      </c>
      <c r="CB463" s="13" t="s">
        <v>312</v>
      </c>
      <c r="CC463" s="13"/>
      <c r="CD463" s="13" t="s">
        <v>6198</v>
      </c>
      <c r="CE463" s="13"/>
      <c r="CF463" s="13"/>
    </row>
    <row r="464" spans="1:84" ht="18.600000000000001" customHeight="1" x14ac:dyDescent="0.25">
      <c r="A464" s="60" t="s">
        <v>165</v>
      </c>
      <c r="B464" s="2" t="s">
        <v>335</v>
      </c>
      <c r="C464" s="3" t="s">
        <v>2723</v>
      </c>
      <c r="D464" s="12" t="s">
        <v>5553</v>
      </c>
      <c r="E464" s="12" t="s">
        <v>1683</v>
      </c>
      <c r="F464" s="12" t="s">
        <v>4191</v>
      </c>
      <c r="G464" s="25">
        <v>756838</v>
      </c>
      <c r="H464" s="25">
        <v>456220</v>
      </c>
      <c r="I464" s="25">
        <v>74754</v>
      </c>
      <c r="J464" s="25">
        <v>123088</v>
      </c>
      <c r="K464" s="25">
        <v>4882037</v>
      </c>
      <c r="L464" s="25">
        <v>2471010</v>
      </c>
      <c r="M464" s="25">
        <v>7353047</v>
      </c>
      <c r="N464" s="31">
        <v>0.66</v>
      </c>
      <c r="O464" s="25">
        <v>395697</v>
      </c>
      <c r="P464" s="25">
        <v>766664</v>
      </c>
      <c r="Q464" s="25">
        <v>43927</v>
      </c>
      <c r="R464" s="25">
        <v>4640</v>
      </c>
      <c r="S464" s="25">
        <v>9470</v>
      </c>
      <c r="T464" s="25">
        <v>25689</v>
      </c>
      <c r="U464" s="61">
        <v>19037</v>
      </c>
      <c r="V464" s="58">
        <v>2.9999999999999997E-4</v>
      </c>
      <c r="W464" s="33">
        <v>2.9999999999999997E-4</v>
      </c>
      <c r="X464" s="33">
        <v>2.0000000000000001E-4</v>
      </c>
      <c r="Y464" s="33">
        <v>6.9999999999999999E-4</v>
      </c>
      <c r="Z464" s="33">
        <v>6.9999999999999999E-4</v>
      </c>
      <c r="AA464" s="33">
        <v>2.0000000000000001E-4</v>
      </c>
      <c r="AB464" s="25">
        <v>6035</v>
      </c>
      <c r="AC464" s="25">
        <v>4129</v>
      </c>
      <c r="AD464" s="25">
        <v>528</v>
      </c>
      <c r="AE464" s="25">
        <v>23</v>
      </c>
      <c r="AF464" s="25">
        <v>1191</v>
      </c>
      <c r="AG464" s="25">
        <v>125</v>
      </c>
      <c r="AH464" s="25">
        <v>39</v>
      </c>
      <c r="AI464" s="12">
        <v>13.75</v>
      </c>
      <c r="AJ464" s="25">
        <v>374517</v>
      </c>
      <c r="AK464" s="25">
        <v>15361</v>
      </c>
      <c r="AL464" s="33">
        <v>4.2799999999999998E-2</v>
      </c>
      <c r="AM464" s="3" t="s">
        <v>2723</v>
      </c>
      <c r="AN464" s="12" t="s">
        <v>1683</v>
      </c>
      <c r="AO464" s="12" t="s">
        <v>1683</v>
      </c>
      <c r="AP464" s="12" t="str">
        <f>"264205757012206"</f>
        <v>264205757012206</v>
      </c>
      <c r="AQ464" s="12" t="s">
        <v>5553</v>
      </c>
      <c r="AR464" s="12" t="s">
        <v>5373</v>
      </c>
      <c r="AS464" s="12" t="s">
        <v>3251</v>
      </c>
      <c r="AT464" s="12"/>
      <c r="AU464" s="12" t="s">
        <v>324</v>
      </c>
      <c r="AV464" s="12" t="s">
        <v>5769</v>
      </c>
      <c r="AW464" s="12" t="s">
        <v>1684</v>
      </c>
      <c r="AX464" s="12">
        <v>12304</v>
      </c>
      <c r="AY464" s="12">
        <v>6974</v>
      </c>
      <c r="AZ464" s="12">
        <v>0</v>
      </c>
      <c r="BA464" s="12" t="s">
        <v>1685</v>
      </c>
      <c r="BB464" s="12" t="s">
        <v>6878</v>
      </c>
      <c r="BC464" s="12" t="s">
        <v>6879</v>
      </c>
      <c r="BD464" s="12"/>
      <c r="BE464" s="12" t="s">
        <v>2291</v>
      </c>
      <c r="BF464" s="12"/>
      <c r="BG464" s="12"/>
      <c r="BH464" s="12"/>
      <c r="BI464" s="12" t="s">
        <v>2724</v>
      </c>
      <c r="BJ464" s="12" t="s">
        <v>1686</v>
      </c>
      <c r="BK464" s="12" t="s">
        <v>6581</v>
      </c>
      <c r="BL464" s="12" t="s">
        <v>2292</v>
      </c>
      <c r="BM464" s="12" t="s">
        <v>2292</v>
      </c>
      <c r="BN464" s="12" t="s">
        <v>2292</v>
      </c>
      <c r="BO464" s="12" t="s">
        <v>2291</v>
      </c>
      <c r="BP464" s="12"/>
      <c r="BQ464" s="12"/>
      <c r="BR464" s="12"/>
      <c r="BS464" s="12"/>
      <c r="BT464" s="12">
        <v>74992442283</v>
      </c>
      <c r="BU464" s="12" t="s">
        <v>326</v>
      </c>
      <c r="BV464" s="12"/>
      <c r="BW464" s="12" t="s">
        <v>4913</v>
      </c>
      <c r="BX464" s="12"/>
      <c r="BY464" s="13" t="s">
        <v>313</v>
      </c>
      <c r="BZ464" s="13" t="s">
        <v>6168</v>
      </c>
      <c r="CA464" s="13" t="s">
        <v>6170</v>
      </c>
      <c r="CB464" s="13" t="s">
        <v>6199</v>
      </c>
      <c r="CC464" s="13"/>
      <c r="CD464" s="13" t="s">
        <v>6195</v>
      </c>
      <c r="CE464" s="13" t="s">
        <v>6175</v>
      </c>
      <c r="CF464" s="13"/>
    </row>
    <row r="465" spans="1:84" ht="18.600000000000001" customHeight="1" x14ac:dyDescent="0.25">
      <c r="A465" s="19" t="s">
        <v>183</v>
      </c>
      <c r="B465" s="17" t="s">
        <v>335</v>
      </c>
      <c r="C465" s="3" t="s">
        <v>5034</v>
      </c>
      <c r="D465" s="12" t="s">
        <v>5153</v>
      </c>
      <c r="E465" s="12" t="s">
        <v>5154</v>
      </c>
      <c r="F465" s="12" t="s">
        <v>5155</v>
      </c>
      <c r="G465" s="25">
        <v>3081</v>
      </c>
      <c r="H465" s="25">
        <v>2234</v>
      </c>
      <c r="I465" s="25">
        <v>27</v>
      </c>
      <c r="J465" s="25">
        <v>746</v>
      </c>
      <c r="K465" s="25">
        <v>1050</v>
      </c>
      <c r="L465" s="25">
        <v>1689</v>
      </c>
      <c r="M465" s="25">
        <v>2739</v>
      </c>
      <c r="N465" s="31">
        <v>0.38</v>
      </c>
      <c r="O465" s="25">
        <v>189</v>
      </c>
      <c r="P465" s="25">
        <v>568</v>
      </c>
      <c r="Q465" s="25">
        <v>65</v>
      </c>
      <c r="R465" s="25">
        <v>4</v>
      </c>
      <c r="S465" s="25">
        <v>0</v>
      </c>
      <c r="T465" s="25">
        <v>4</v>
      </c>
      <c r="U465" s="61">
        <v>1</v>
      </c>
      <c r="V465" s="58">
        <v>2.35E-2</v>
      </c>
      <c r="W465" s="33">
        <v>3.2000000000000001E-2</v>
      </c>
      <c r="X465" s="33">
        <v>2.1000000000000001E-2</v>
      </c>
      <c r="Y465" s="12" t="s">
        <v>3926</v>
      </c>
      <c r="Z465" s="33">
        <v>3.5299999999999998E-2</v>
      </c>
      <c r="AA465" s="33">
        <v>1.37E-2</v>
      </c>
      <c r="AB465" s="25">
        <v>244</v>
      </c>
      <c r="AC465" s="25">
        <v>30</v>
      </c>
      <c r="AD465" s="25">
        <v>198</v>
      </c>
      <c r="AE465" s="25">
        <v>0</v>
      </c>
      <c r="AF465" s="25">
        <v>8</v>
      </c>
      <c r="AG465" s="25">
        <v>4</v>
      </c>
      <c r="AH465" s="25">
        <v>4</v>
      </c>
      <c r="AI465" s="12">
        <v>0.56000000000000005</v>
      </c>
      <c r="AJ465" s="25">
        <v>584</v>
      </c>
      <c r="AK465" s="25">
        <v>0</v>
      </c>
      <c r="AL465" s="31">
        <v>0</v>
      </c>
      <c r="AM465" s="3" t="s">
        <v>5034</v>
      </c>
      <c r="AN465" s="12" t="s">
        <v>5154</v>
      </c>
      <c r="AO465" s="12" t="s">
        <v>5154</v>
      </c>
      <c r="AP465" s="12" t="str">
        <f>"929456743767192"</f>
        <v>929456743767192</v>
      </c>
      <c r="AQ465" s="12" t="s">
        <v>5153</v>
      </c>
      <c r="AR465" s="12" t="s">
        <v>2841</v>
      </c>
      <c r="AS465" s="12"/>
      <c r="AT465" s="12"/>
      <c r="AU465" s="12" t="s">
        <v>324</v>
      </c>
      <c r="AV465" s="12" t="s">
        <v>5731</v>
      </c>
      <c r="AW465" s="12"/>
      <c r="AX465" s="12">
        <v>1</v>
      </c>
      <c r="AY465" s="12">
        <v>64</v>
      </c>
      <c r="AZ465" s="12">
        <v>1</v>
      </c>
      <c r="BA465" s="12" t="s">
        <v>5453</v>
      </c>
      <c r="BB465" s="12" t="s">
        <v>7221</v>
      </c>
      <c r="BC465" s="12" t="s">
        <v>7222</v>
      </c>
      <c r="BD465" s="12"/>
      <c r="BE465" s="12" t="s">
        <v>2291</v>
      </c>
      <c r="BF465" s="12"/>
      <c r="BG465" s="12"/>
      <c r="BH465" s="12"/>
      <c r="BI465" s="12" t="s">
        <v>5454</v>
      </c>
      <c r="BJ465" s="12"/>
      <c r="BK465" s="12" t="s">
        <v>7223</v>
      </c>
      <c r="BL465" s="12" t="s">
        <v>2292</v>
      </c>
      <c r="BM465" s="12" t="s">
        <v>2292</v>
      </c>
      <c r="BN465" s="12" t="s">
        <v>2292</v>
      </c>
      <c r="BO465" s="12" t="s">
        <v>2292</v>
      </c>
      <c r="BP465" s="12"/>
      <c r="BQ465" s="12"/>
      <c r="BR465" s="12"/>
      <c r="BS465" s="12"/>
      <c r="BT465" s="12" t="s">
        <v>5603</v>
      </c>
      <c r="BU465" s="12" t="s">
        <v>326</v>
      </c>
      <c r="BV465" s="12"/>
      <c r="BW465" s="12" t="s">
        <v>5604</v>
      </c>
      <c r="BX465" s="12"/>
      <c r="BY465" s="13" t="s">
        <v>313</v>
      </c>
      <c r="BZ465" s="13" t="s">
        <v>6172</v>
      </c>
      <c r="CA465" s="13" t="s">
        <v>6170</v>
      </c>
      <c r="CB465" s="13" t="s">
        <v>6200</v>
      </c>
      <c r="CC465" s="13"/>
      <c r="CD465" s="13" t="s">
        <v>6195</v>
      </c>
      <c r="CE465" s="13"/>
      <c r="CF465" s="13"/>
    </row>
    <row r="466" spans="1:84" ht="18.600000000000001" customHeight="1" x14ac:dyDescent="0.25">
      <c r="A466" s="60" t="s">
        <v>166</v>
      </c>
      <c r="B466" s="2" t="s">
        <v>314</v>
      </c>
      <c r="C466" s="3" t="s">
        <v>2861</v>
      </c>
      <c r="D466" s="12" t="s">
        <v>1687</v>
      </c>
      <c r="E466" s="12" t="s">
        <v>167</v>
      </c>
      <c r="F466" s="12" t="s">
        <v>4279</v>
      </c>
      <c r="G466" s="25">
        <v>26201</v>
      </c>
      <c r="H466" s="25">
        <v>22048</v>
      </c>
      <c r="I466" s="25">
        <v>1420</v>
      </c>
      <c r="J466" s="25">
        <v>1768</v>
      </c>
      <c r="K466" s="25">
        <v>23928</v>
      </c>
      <c r="L466" s="25">
        <v>5810</v>
      </c>
      <c r="M466" s="25">
        <v>29738</v>
      </c>
      <c r="N466" s="31">
        <v>0.8</v>
      </c>
      <c r="O466" s="25">
        <v>0</v>
      </c>
      <c r="P466" s="25">
        <v>16134</v>
      </c>
      <c r="Q466" s="25">
        <v>689</v>
      </c>
      <c r="R466" s="25">
        <v>30</v>
      </c>
      <c r="S466" s="25">
        <v>37</v>
      </c>
      <c r="T466" s="25">
        <v>169</v>
      </c>
      <c r="U466" s="61">
        <v>40</v>
      </c>
      <c r="V466" s="58">
        <v>2.8E-3</v>
      </c>
      <c r="W466" s="33">
        <v>2.7000000000000001E-3</v>
      </c>
      <c r="X466" s="33">
        <v>2.0999999999999999E-3</v>
      </c>
      <c r="Y466" s="33">
        <v>1.5100000000000001E-2</v>
      </c>
      <c r="Z466" s="33">
        <v>6.7999999999999996E-3</v>
      </c>
      <c r="AA466" s="33">
        <v>1.4E-3</v>
      </c>
      <c r="AB466" s="25">
        <v>65</v>
      </c>
      <c r="AC466" s="25">
        <v>35</v>
      </c>
      <c r="AD466" s="25">
        <v>25</v>
      </c>
      <c r="AE466" s="25">
        <v>1</v>
      </c>
      <c r="AF466" s="25">
        <v>2</v>
      </c>
      <c r="AG466" s="25">
        <v>0</v>
      </c>
      <c r="AH466" s="25">
        <v>2</v>
      </c>
      <c r="AI466" s="12">
        <v>0.15</v>
      </c>
      <c r="AJ466" s="25">
        <v>144636</v>
      </c>
      <c r="AK466" s="25">
        <v>-3465</v>
      </c>
      <c r="AL466" s="33">
        <v>-2.3400000000000001E-2</v>
      </c>
      <c r="AM466" s="3" t="s">
        <v>2861</v>
      </c>
      <c r="AN466" s="12" t="s">
        <v>167</v>
      </c>
      <c r="AO466" s="12" t="s">
        <v>167</v>
      </c>
      <c r="AP466" s="12" t="str">
        <f>"161356427244410"</f>
        <v>161356427244410</v>
      </c>
      <c r="AQ466" s="12" t="s">
        <v>1687</v>
      </c>
      <c r="AR466" s="12"/>
      <c r="AS466" s="12" t="s">
        <v>1688</v>
      </c>
      <c r="AT466" s="12" t="s">
        <v>2862</v>
      </c>
      <c r="AU466" s="12" t="s">
        <v>309</v>
      </c>
      <c r="AV466" s="12"/>
      <c r="AW466" s="12"/>
      <c r="AX466" s="12">
        <v>2</v>
      </c>
      <c r="AY466" s="12">
        <v>78</v>
      </c>
      <c r="AZ466" s="12">
        <v>0</v>
      </c>
      <c r="BA466" s="12" t="s">
        <v>1689</v>
      </c>
      <c r="BB466" s="12" t="s">
        <v>7059</v>
      </c>
      <c r="BC466" s="12" t="s">
        <v>7060</v>
      </c>
      <c r="BD466" s="12"/>
      <c r="BE466" s="12" t="s">
        <v>2291</v>
      </c>
      <c r="BF466" s="12"/>
      <c r="BG466" s="12"/>
      <c r="BH466" s="12"/>
      <c r="BI466" s="12"/>
      <c r="BJ466" s="12"/>
      <c r="BK466" s="12"/>
      <c r="BL466" s="12" t="s">
        <v>2292</v>
      </c>
      <c r="BM466" s="12" t="s">
        <v>2292</v>
      </c>
      <c r="BN466" s="12" t="s">
        <v>2292</v>
      </c>
      <c r="BO466" s="12" t="s">
        <v>2291</v>
      </c>
      <c r="BP466" s="12"/>
      <c r="BQ466" s="12"/>
      <c r="BR466" s="12" t="s">
        <v>1690</v>
      </c>
      <c r="BS466" s="12"/>
      <c r="BT466" s="12"/>
      <c r="BU466" s="12"/>
      <c r="BV466" s="12"/>
      <c r="BW466" s="12" t="s">
        <v>1691</v>
      </c>
      <c r="BX466" s="12"/>
      <c r="BY466" s="13" t="s">
        <v>313</v>
      </c>
      <c r="BZ466" s="13" t="s">
        <v>312</v>
      </c>
      <c r="CA466" s="13"/>
      <c r="CB466" s="13"/>
      <c r="CC466" s="13"/>
      <c r="CD466" s="13"/>
      <c r="CE466" s="13"/>
      <c r="CF466" s="13"/>
    </row>
    <row r="467" spans="1:84" ht="18.600000000000001" customHeight="1" x14ac:dyDescent="0.25">
      <c r="A467" s="60" t="s">
        <v>166</v>
      </c>
      <c r="B467" s="2" t="s">
        <v>4872</v>
      </c>
      <c r="C467" s="3" t="s">
        <v>3082</v>
      </c>
      <c r="D467" s="12" t="s">
        <v>1692</v>
      </c>
      <c r="E467" s="12" t="s">
        <v>1693</v>
      </c>
      <c r="F467" s="12" t="s">
        <v>4428</v>
      </c>
      <c r="G467" s="25">
        <v>907234</v>
      </c>
      <c r="H467" s="25">
        <v>691769</v>
      </c>
      <c r="I467" s="25">
        <v>65703</v>
      </c>
      <c r="J467" s="25">
        <v>113110</v>
      </c>
      <c r="K467" s="25">
        <v>7575399</v>
      </c>
      <c r="L467" s="25">
        <v>1126047</v>
      </c>
      <c r="M467" s="25">
        <v>8701446</v>
      </c>
      <c r="N467" s="31">
        <v>0.87</v>
      </c>
      <c r="O467" s="25">
        <v>10429</v>
      </c>
      <c r="P467" s="25">
        <v>175283</v>
      </c>
      <c r="Q467" s="25">
        <v>18721</v>
      </c>
      <c r="R467" s="25">
        <v>770</v>
      </c>
      <c r="S467" s="25">
        <v>9010</v>
      </c>
      <c r="T467" s="25">
        <v>2121</v>
      </c>
      <c r="U467" s="61">
        <v>6030</v>
      </c>
      <c r="V467" s="58">
        <v>7.4000000000000003E-3</v>
      </c>
      <c r="W467" s="33">
        <v>6.4999999999999997E-3</v>
      </c>
      <c r="X467" s="33">
        <v>7.9000000000000008E-3</v>
      </c>
      <c r="Y467" s="33">
        <v>4.1000000000000003E-3</v>
      </c>
      <c r="Z467" s="33">
        <v>1.3100000000000001E-2</v>
      </c>
      <c r="AA467" s="33">
        <v>4.3E-3</v>
      </c>
      <c r="AB467" s="25">
        <v>843</v>
      </c>
      <c r="AC467" s="25">
        <v>545</v>
      </c>
      <c r="AD467" s="25">
        <v>2</v>
      </c>
      <c r="AE467" s="25">
        <v>98</v>
      </c>
      <c r="AF467" s="25">
        <v>180</v>
      </c>
      <c r="AG467" s="25">
        <v>1</v>
      </c>
      <c r="AH467" s="25">
        <v>17</v>
      </c>
      <c r="AI467" s="12">
        <v>1.92</v>
      </c>
      <c r="AJ467" s="25">
        <v>151482</v>
      </c>
      <c r="AK467" s="25">
        <v>23953</v>
      </c>
      <c r="AL467" s="33">
        <v>0.18779999999999999</v>
      </c>
      <c r="AM467" s="3" t="s">
        <v>3082</v>
      </c>
      <c r="AN467" s="12" t="s">
        <v>1693</v>
      </c>
      <c r="AO467" s="12" t="s">
        <v>1693</v>
      </c>
      <c r="AP467" s="12" t="str">
        <f>"434923669883731"</f>
        <v>434923669883731</v>
      </c>
      <c r="AQ467" s="12" t="s">
        <v>1692</v>
      </c>
      <c r="AR467" s="12" t="s">
        <v>1694</v>
      </c>
      <c r="AS467" s="12" t="s">
        <v>1695</v>
      </c>
      <c r="AT467" s="12"/>
      <c r="AU467" s="12" t="s">
        <v>309</v>
      </c>
      <c r="AV467" s="12"/>
      <c r="AW467" s="12"/>
      <c r="AX467" s="12">
        <v>0</v>
      </c>
      <c r="AY467" s="12">
        <v>2144</v>
      </c>
      <c r="AZ467" s="12">
        <v>0</v>
      </c>
      <c r="BA467" s="12" t="s">
        <v>1696</v>
      </c>
      <c r="BB467" s="12"/>
      <c r="BC467" s="12" t="s">
        <v>7389</v>
      </c>
      <c r="BD467" s="12"/>
      <c r="BE467" s="12" t="s">
        <v>2291</v>
      </c>
      <c r="BF467" s="12"/>
      <c r="BG467" s="12"/>
      <c r="BH467" s="12"/>
      <c r="BI467" s="12"/>
      <c r="BJ467" s="12"/>
      <c r="BK467" s="12"/>
      <c r="BL467" s="12" t="s">
        <v>2292</v>
      </c>
      <c r="BM467" s="12" t="s">
        <v>2292</v>
      </c>
      <c r="BN467" s="12" t="s">
        <v>2292</v>
      </c>
      <c r="BO467" s="12" t="s">
        <v>2291</v>
      </c>
      <c r="BP467" s="12"/>
      <c r="BQ467" s="12"/>
      <c r="BR467" s="12"/>
      <c r="BS467" s="12"/>
      <c r="BT467" s="12"/>
      <c r="BU467" s="12"/>
      <c r="BV467" s="12"/>
      <c r="BW467" s="12"/>
      <c r="BX467" s="12"/>
      <c r="BY467" s="13" t="s">
        <v>313</v>
      </c>
      <c r="BZ467" s="13" t="s">
        <v>312</v>
      </c>
      <c r="CA467" s="13"/>
      <c r="CB467" s="13"/>
      <c r="CC467" s="13"/>
      <c r="CD467" s="13"/>
      <c r="CE467" s="13"/>
      <c r="CF467" s="13"/>
    </row>
    <row r="468" spans="1:84" ht="18.600000000000001" customHeight="1" x14ac:dyDescent="0.25">
      <c r="A468" s="60" t="s">
        <v>166</v>
      </c>
      <c r="B468" s="2" t="s">
        <v>315</v>
      </c>
      <c r="C468" s="3" t="s">
        <v>3077</v>
      </c>
      <c r="D468" s="12" t="s">
        <v>1702</v>
      </c>
      <c r="E468" s="12" t="s">
        <v>169</v>
      </c>
      <c r="F468" s="12" t="s">
        <v>4423</v>
      </c>
      <c r="G468" s="25">
        <v>3707</v>
      </c>
      <c r="H468" s="25">
        <v>2896</v>
      </c>
      <c r="I468" s="25">
        <v>50</v>
      </c>
      <c r="J468" s="25">
        <v>734</v>
      </c>
      <c r="K468" s="25">
        <v>814</v>
      </c>
      <c r="L468" s="25">
        <v>204</v>
      </c>
      <c r="M468" s="25">
        <v>1018</v>
      </c>
      <c r="N468" s="31">
        <v>0.8</v>
      </c>
      <c r="O468" s="25">
        <v>922</v>
      </c>
      <c r="P468" s="25">
        <v>249</v>
      </c>
      <c r="Q468" s="25">
        <v>19</v>
      </c>
      <c r="R468" s="25">
        <v>3</v>
      </c>
      <c r="S468" s="25">
        <v>2</v>
      </c>
      <c r="T468" s="25">
        <v>1</v>
      </c>
      <c r="U468" s="61">
        <v>2</v>
      </c>
      <c r="V468" s="58">
        <v>1.2999999999999999E-3</v>
      </c>
      <c r="W468" s="33">
        <v>1E-3</v>
      </c>
      <c r="X468" s="33">
        <v>1.5E-3</v>
      </c>
      <c r="Y468" s="33">
        <v>1.1999999999999999E-3</v>
      </c>
      <c r="Z468" s="33">
        <v>1.5E-3</v>
      </c>
      <c r="AA468" s="33">
        <v>1.1999999999999999E-3</v>
      </c>
      <c r="AB468" s="25">
        <v>397</v>
      </c>
      <c r="AC468" s="25">
        <v>127</v>
      </c>
      <c r="AD468" s="25">
        <v>247</v>
      </c>
      <c r="AE468" s="25">
        <v>2</v>
      </c>
      <c r="AF468" s="25">
        <v>6</v>
      </c>
      <c r="AG468" s="25">
        <v>5</v>
      </c>
      <c r="AH468" s="25">
        <v>10</v>
      </c>
      <c r="AI468" s="12">
        <v>0.9</v>
      </c>
      <c r="AJ468" s="25">
        <v>7132</v>
      </c>
      <c r="AK468" s="25">
        <v>742</v>
      </c>
      <c r="AL468" s="33">
        <v>0.11609999999999999</v>
      </c>
      <c r="AM468" s="3" t="s">
        <v>3077</v>
      </c>
      <c r="AN468" s="12" t="s">
        <v>169</v>
      </c>
      <c r="AO468" s="12" t="s">
        <v>169</v>
      </c>
      <c r="AP468" s="12" t="str">
        <f>"184290601665373"</f>
        <v>184290601665373</v>
      </c>
      <c r="AQ468" s="12" t="s">
        <v>1702</v>
      </c>
      <c r="AR468" s="12" t="s">
        <v>1703</v>
      </c>
      <c r="AS468" s="12" t="s">
        <v>3078</v>
      </c>
      <c r="AT468" s="12"/>
      <c r="AU468" s="12" t="s">
        <v>324</v>
      </c>
      <c r="AV468" s="12" t="s">
        <v>5731</v>
      </c>
      <c r="AW468" s="12">
        <v>2011</v>
      </c>
      <c r="AX468" s="12">
        <v>155</v>
      </c>
      <c r="AY468" s="12">
        <v>196</v>
      </c>
      <c r="AZ468" s="12">
        <v>155</v>
      </c>
      <c r="BA468" s="12" t="s">
        <v>1704</v>
      </c>
      <c r="BB468" s="12" t="s">
        <v>7383</v>
      </c>
      <c r="BC468" s="12" t="s">
        <v>7384</v>
      </c>
      <c r="BD468" s="12"/>
      <c r="BE468" s="12" t="s">
        <v>2291</v>
      </c>
      <c r="BF468" s="12"/>
      <c r="BG468" s="12"/>
      <c r="BH468" s="12"/>
      <c r="BI468" s="12" t="s">
        <v>3079</v>
      </c>
      <c r="BJ468" s="12" t="s">
        <v>3080</v>
      </c>
      <c r="BK468" s="12" t="s">
        <v>6575</v>
      </c>
      <c r="BL468" s="12" t="s">
        <v>2292</v>
      </c>
      <c r="BM468" s="12" t="s">
        <v>2292</v>
      </c>
      <c r="BN468" s="12" t="s">
        <v>2292</v>
      </c>
      <c r="BO468" s="12" t="s">
        <v>2292</v>
      </c>
      <c r="BP468" s="12"/>
      <c r="BQ468" s="12"/>
      <c r="BR468" s="12"/>
      <c r="BS468" s="12"/>
      <c r="BT468" s="12" t="s">
        <v>3081</v>
      </c>
      <c r="BU468" s="12" t="s">
        <v>326</v>
      </c>
      <c r="BV468" s="12"/>
      <c r="BW468" s="12" t="s">
        <v>3240</v>
      </c>
      <c r="BX468" s="12"/>
      <c r="BY468" s="13" t="s">
        <v>313</v>
      </c>
      <c r="BZ468" s="13" t="s">
        <v>6171</v>
      </c>
      <c r="CA468" s="13" t="s">
        <v>6170</v>
      </c>
      <c r="CB468" s="13" t="s">
        <v>6200</v>
      </c>
      <c r="CC468" s="13"/>
      <c r="CD468" s="13" t="s">
        <v>6198</v>
      </c>
      <c r="CE468" s="13"/>
      <c r="CF468" s="13" t="s">
        <v>6178</v>
      </c>
    </row>
    <row r="469" spans="1:84" ht="18.600000000000001" customHeight="1" x14ac:dyDescent="0.25">
      <c r="A469" s="60" t="s">
        <v>166</v>
      </c>
      <c r="B469" s="2" t="s">
        <v>1701</v>
      </c>
      <c r="C469" s="3" t="s">
        <v>2416</v>
      </c>
      <c r="D469" s="12" t="s">
        <v>1697</v>
      </c>
      <c r="E469" s="12" t="s">
        <v>168</v>
      </c>
      <c r="F469" s="12" t="s">
        <v>4002</v>
      </c>
      <c r="G469" s="25">
        <v>11680</v>
      </c>
      <c r="H469" s="25">
        <v>10239</v>
      </c>
      <c r="I469" s="25">
        <v>612</v>
      </c>
      <c r="J469" s="25">
        <v>587</v>
      </c>
      <c r="K469" s="25">
        <v>1774</v>
      </c>
      <c r="L469" s="25">
        <v>625</v>
      </c>
      <c r="M469" s="25">
        <v>2399</v>
      </c>
      <c r="N469" s="31">
        <v>0.74</v>
      </c>
      <c r="O469" s="25">
        <v>0</v>
      </c>
      <c r="P469" s="25">
        <v>0</v>
      </c>
      <c r="Q469" s="25">
        <v>185</v>
      </c>
      <c r="R469" s="25">
        <v>5</v>
      </c>
      <c r="S469" s="25">
        <v>22</v>
      </c>
      <c r="T469" s="25">
        <v>13</v>
      </c>
      <c r="U469" s="61">
        <v>17</v>
      </c>
      <c r="V469" s="58">
        <v>7.4000000000000003E-3</v>
      </c>
      <c r="W469" s="33">
        <v>1.0500000000000001E-2</v>
      </c>
      <c r="X469" s="33">
        <v>7.1999999999999998E-3</v>
      </c>
      <c r="Y469" s="12" t="s">
        <v>3926</v>
      </c>
      <c r="Z469" s="33">
        <v>7.7000000000000002E-3</v>
      </c>
      <c r="AA469" s="12" t="s">
        <v>3926</v>
      </c>
      <c r="AB469" s="25">
        <v>186</v>
      </c>
      <c r="AC469" s="25">
        <v>9</v>
      </c>
      <c r="AD469" s="25">
        <v>174</v>
      </c>
      <c r="AE469" s="25">
        <v>0</v>
      </c>
      <c r="AF469" s="25">
        <v>3</v>
      </c>
      <c r="AG469" s="25">
        <v>0</v>
      </c>
      <c r="AH469" s="25">
        <v>0</v>
      </c>
      <c r="AI469" s="12">
        <v>0.42</v>
      </c>
      <c r="AJ469" s="25">
        <v>8735</v>
      </c>
      <c r="AK469" s="25">
        <v>586</v>
      </c>
      <c r="AL469" s="33">
        <v>7.1900000000000006E-2</v>
      </c>
      <c r="AM469" s="3" t="s">
        <v>2416</v>
      </c>
      <c r="AN469" s="12" t="s">
        <v>168</v>
      </c>
      <c r="AO469" s="12" t="s">
        <v>168</v>
      </c>
      <c r="AP469" s="12" t="str">
        <f>"112448782168086"</f>
        <v>112448782168086</v>
      </c>
      <c r="AQ469" s="12" t="s">
        <v>1697</v>
      </c>
      <c r="AR469" s="12" t="s">
        <v>1698</v>
      </c>
      <c r="AS469" s="12"/>
      <c r="AT469" s="12" t="s">
        <v>2417</v>
      </c>
      <c r="AU469" s="12" t="s">
        <v>309</v>
      </c>
      <c r="AV469" s="12"/>
      <c r="AW469" s="12"/>
      <c r="AX469" s="12">
        <v>0</v>
      </c>
      <c r="AY469" s="12">
        <v>313</v>
      </c>
      <c r="AZ469" s="12">
        <v>0</v>
      </c>
      <c r="BA469" s="12" t="s">
        <v>1699</v>
      </c>
      <c r="BB469" s="12" t="s">
        <v>5779</v>
      </c>
      <c r="BC469" s="12" t="s">
        <v>6436</v>
      </c>
      <c r="BD469" s="12"/>
      <c r="BE469" s="12" t="s">
        <v>2291</v>
      </c>
      <c r="BF469" s="12"/>
      <c r="BG469" s="12"/>
      <c r="BH469" s="12"/>
      <c r="BI469" s="12"/>
      <c r="BJ469" s="12"/>
      <c r="BK469" s="12"/>
      <c r="BL469" s="12" t="s">
        <v>2292</v>
      </c>
      <c r="BM469" s="12" t="s">
        <v>2292</v>
      </c>
      <c r="BN469" s="12" t="s">
        <v>2292</v>
      </c>
      <c r="BO469" s="12" t="s">
        <v>2292</v>
      </c>
      <c r="BP469" s="12"/>
      <c r="BQ469" s="12"/>
      <c r="BR469" s="12"/>
      <c r="BS469" s="12"/>
      <c r="BT469" s="12"/>
      <c r="BU469" s="12"/>
      <c r="BV469" s="12"/>
      <c r="BW469" s="12" t="s">
        <v>1700</v>
      </c>
      <c r="BX469" s="12"/>
      <c r="BY469" s="13" t="s">
        <v>313</v>
      </c>
      <c r="BZ469" s="13" t="s">
        <v>312</v>
      </c>
      <c r="CA469" s="13"/>
      <c r="CB469" s="13"/>
      <c r="CC469" s="13"/>
      <c r="CD469" s="13"/>
      <c r="CE469" s="13"/>
      <c r="CF469" s="13" t="s">
        <v>6178</v>
      </c>
    </row>
    <row r="470" spans="1:84" ht="18.600000000000001" customHeight="1" x14ac:dyDescent="0.25">
      <c r="A470" s="60" t="s">
        <v>170</v>
      </c>
      <c r="B470" s="2" t="s">
        <v>1710</v>
      </c>
      <c r="C470" s="3" t="s">
        <v>2307</v>
      </c>
      <c r="D470" s="12" t="s">
        <v>1705</v>
      </c>
      <c r="E470" s="12" t="s">
        <v>1706</v>
      </c>
      <c r="F470" s="12" t="s">
        <v>3943</v>
      </c>
      <c r="G470" s="25">
        <v>1043998</v>
      </c>
      <c r="H470" s="25">
        <v>853300</v>
      </c>
      <c r="I470" s="25">
        <v>45399</v>
      </c>
      <c r="J470" s="25">
        <v>38381</v>
      </c>
      <c r="K470" s="25">
        <v>3631001</v>
      </c>
      <c r="L470" s="25">
        <v>1275918</v>
      </c>
      <c r="M470" s="25">
        <v>4906919</v>
      </c>
      <c r="N470" s="31">
        <v>0.74</v>
      </c>
      <c r="O470" s="25">
        <v>0</v>
      </c>
      <c r="P470" s="25">
        <v>134145</v>
      </c>
      <c r="Q470" s="25">
        <v>74064</v>
      </c>
      <c r="R470" s="25">
        <v>5200</v>
      </c>
      <c r="S470" s="25">
        <v>6951</v>
      </c>
      <c r="T470" s="25">
        <v>16152</v>
      </c>
      <c r="U470" s="61">
        <v>4542</v>
      </c>
      <c r="V470" s="58">
        <v>1.7899999999999999E-2</v>
      </c>
      <c r="W470" s="33">
        <v>1.7600000000000001E-2</v>
      </c>
      <c r="X470" s="33">
        <v>1.06E-2</v>
      </c>
      <c r="Y470" s="33">
        <v>1.18E-2</v>
      </c>
      <c r="Z470" s="33">
        <v>2.2499999999999999E-2</v>
      </c>
      <c r="AA470" s="12" t="s">
        <v>3926</v>
      </c>
      <c r="AB470" s="25">
        <v>233</v>
      </c>
      <c r="AC470" s="25">
        <v>170</v>
      </c>
      <c r="AD470" s="25">
        <v>5</v>
      </c>
      <c r="AE470" s="25">
        <v>13</v>
      </c>
      <c r="AF470" s="25">
        <v>45</v>
      </c>
      <c r="AG470" s="25">
        <v>0</v>
      </c>
      <c r="AH470" s="25">
        <v>0</v>
      </c>
      <c r="AI470" s="12">
        <v>0.53</v>
      </c>
      <c r="AJ470" s="25">
        <v>256397</v>
      </c>
      <c r="AK470" s="25">
        <v>18653</v>
      </c>
      <c r="AL470" s="33">
        <v>7.85E-2</v>
      </c>
      <c r="AM470" s="3" t="s">
        <v>2307</v>
      </c>
      <c r="AN470" s="12" t="s">
        <v>1706</v>
      </c>
      <c r="AO470" s="12" t="s">
        <v>1706</v>
      </c>
      <c r="AP470" s="12" t="str">
        <f>"162852047168915"</f>
        <v>162852047168915</v>
      </c>
      <c r="AQ470" s="12" t="s">
        <v>1705</v>
      </c>
      <c r="AR470" s="12" t="s">
        <v>1707</v>
      </c>
      <c r="AS470" s="12" t="s">
        <v>2308</v>
      </c>
      <c r="AT470" s="12" t="s">
        <v>6300</v>
      </c>
      <c r="AU470" s="12" t="s">
        <v>319</v>
      </c>
      <c r="AV470" s="12"/>
      <c r="AW470" s="12"/>
      <c r="AX470" s="12">
        <v>0</v>
      </c>
      <c r="AY470" s="12">
        <v>24292</v>
      </c>
      <c r="AZ470" s="12">
        <v>0</v>
      </c>
      <c r="BA470" s="12" t="s">
        <v>1708</v>
      </c>
      <c r="BB470" s="12" t="s">
        <v>5737</v>
      </c>
      <c r="BC470" s="12" t="s">
        <v>6301</v>
      </c>
      <c r="BD470" s="12"/>
      <c r="BE470" s="12" t="s">
        <v>2291</v>
      </c>
      <c r="BF470" s="12"/>
      <c r="BG470" s="12"/>
      <c r="BH470" s="12"/>
      <c r="BI470" s="12"/>
      <c r="BJ470" s="12"/>
      <c r="BK470" s="12"/>
      <c r="BL470" s="12" t="s">
        <v>2292</v>
      </c>
      <c r="BM470" s="12" t="s">
        <v>2292</v>
      </c>
      <c r="BN470" s="12" t="s">
        <v>2292</v>
      </c>
      <c r="BO470" s="12" t="s">
        <v>2291</v>
      </c>
      <c r="BP470" s="12"/>
      <c r="BQ470" s="12"/>
      <c r="BR470" s="12"/>
      <c r="BS470" s="12"/>
      <c r="BT470" s="12"/>
      <c r="BU470" s="12"/>
      <c r="BV470" s="12"/>
      <c r="BW470" s="12" t="s">
        <v>1709</v>
      </c>
      <c r="BX470" s="12"/>
      <c r="BY470" s="13" t="s">
        <v>313</v>
      </c>
      <c r="BZ470" s="13" t="s">
        <v>6171</v>
      </c>
      <c r="CA470" s="13"/>
      <c r="CB470" s="13"/>
      <c r="CC470" s="13"/>
      <c r="CD470" s="13"/>
      <c r="CE470" s="13"/>
      <c r="CF470" s="13"/>
    </row>
    <row r="471" spans="1:84" ht="18.600000000000001" customHeight="1" x14ac:dyDescent="0.25">
      <c r="A471" s="60" t="s">
        <v>170</v>
      </c>
      <c r="B471" s="2" t="s">
        <v>314</v>
      </c>
      <c r="C471" s="3" t="s">
        <v>6240</v>
      </c>
      <c r="D471" s="12" t="s">
        <v>7147</v>
      </c>
      <c r="E471" s="12" t="s">
        <v>7146</v>
      </c>
      <c r="F471" s="12" t="s">
        <v>7432</v>
      </c>
      <c r="G471" s="25">
        <v>17783</v>
      </c>
      <c r="H471" s="25">
        <v>14785</v>
      </c>
      <c r="I471" s="25">
        <v>534</v>
      </c>
      <c r="J471" s="25">
        <v>904</v>
      </c>
      <c r="K471" s="25">
        <v>1460</v>
      </c>
      <c r="L471" s="25">
        <v>721</v>
      </c>
      <c r="M471" s="25">
        <v>2181</v>
      </c>
      <c r="N471" s="31">
        <v>0.67</v>
      </c>
      <c r="O471" s="25">
        <v>3282</v>
      </c>
      <c r="P471" s="25">
        <v>0</v>
      </c>
      <c r="Q471" s="25">
        <v>1267</v>
      </c>
      <c r="R471" s="25">
        <v>58</v>
      </c>
      <c r="S471" s="25">
        <v>64</v>
      </c>
      <c r="T471" s="25">
        <v>118</v>
      </c>
      <c r="U471" s="61">
        <v>53</v>
      </c>
      <c r="V471" s="58">
        <v>2.1600000000000001E-2</v>
      </c>
      <c r="W471" s="33">
        <v>4.82E-2</v>
      </c>
      <c r="X471" s="33">
        <v>1.7299999999999999E-2</v>
      </c>
      <c r="Y471" s="33">
        <v>1.26E-2</v>
      </c>
      <c r="Z471" s="33">
        <v>3.6700000000000003E-2</v>
      </c>
      <c r="AA471" s="33">
        <v>4.4000000000000003E-3</v>
      </c>
      <c r="AB471" s="25">
        <v>156</v>
      </c>
      <c r="AC471" s="25">
        <v>24</v>
      </c>
      <c r="AD471" s="25">
        <v>124</v>
      </c>
      <c r="AE471" s="25">
        <v>2</v>
      </c>
      <c r="AF471" s="25">
        <v>1</v>
      </c>
      <c r="AG471" s="25">
        <v>3</v>
      </c>
      <c r="AH471" s="25">
        <v>2</v>
      </c>
      <c r="AI471" s="12">
        <v>0.36</v>
      </c>
      <c r="AJ471" s="25">
        <v>5433</v>
      </c>
      <c r="AK471" s="25">
        <v>0</v>
      </c>
      <c r="AL471" s="31">
        <v>0</v>
      </c>
      <c r="AM471" s="3" t="s">
        <v>6240</v>
      </c>
      <c r="AN471" s="12" t="s">
        <v>7146</v>
      </c>
      <c r="AO471" s="12" t="s">
        <v>7146</v>
      </c>
      <c r="AP471" s="12" t="str">
        <f>"709633635805903"</f>
        <v>709633635805903</v>
      </c>
      <c r="AQ471" s="12" t="s">
        <v>7147</v>
      </c>
      <c r="AR471" s="12" t="s">
        <v>1707</v>
      </c>
      <c r="AS471" s="12" t="s">
        <v>7148</v>
      </c>
      <c r="AT471" s="12"/>
      <c r="AU471" s="12" t="s">
        <v>358</v>
      </c>
      <c r="AV471" s="12"/>
      <c r="AW471" s="12"/>
      <c r="AX471" s="12">
        <v>0</v>
      </c>
      <c r="AY471" s="12">
        <v>232</v>
      </c>
      <c r="AZ471" s="12">
        <v>0</v>
      </c>
      <c r="BA471" s="12" t="s">
        <v>7149</v>
      </c>
      <c r="BB471" s="12"/>
      <c r="BC471" s="12" t="s">
        <v>7150</v>
      </c>
      <c r="BD471" s="12"/>
      <c r="BE471" s="12" t="s">
        <v>2291</v>
      </c>
      <c r="BF471" s="12"/>
      <c r="BG471" s="12"/>
      <c r="BH471" s="12"/>
      <c r="BI471" s="12" t="s">
        <v>7151</v>
      </c>
      <c r="BJ471" s="12"/>
      <c r="BK471" s="12"/>
      <c r="BL471" s="12" t="s">
        <v>2292</v>
      </c>
      <c r="BM471" s="12" t="s">
        <v>2292</v>
      </c>
      <c r="BN471" s="12" t="s">
        <v>2292</v>
      </c>
      <c r="BO471" s="12" t="s">
        <v>2291</v>
      </c>
      <c r="BP471" s="12"/>
      <c r="BQ471" s="12"/>
      <c r="BR471" s="12"/>
      <c r="BS471" s="12"/>
      <c r="BT471" s="12">
        <v>421257888155</v>
      </c>
      <c r="BU471" s="12"/>
      <c r="BV471" s="12"/>
      <c r="BW471" s="12"/>
      <c r="BX471" s="12"/>
      <c r="BY471" s="13"/>
      <c r="BZ471" s="13" t="s">
        <v>6171</v>
      </c>
      <c r="CA471" s="13"/>
      <c r="CB471" s="13"/>
      <c r="CC471" s="13"/>
      <c r="CD471" s="13"/>
      <c r="CE471" s="13"/>
      <c r="CF471" s="13" t="s">
        <v>6178</v>
      </c>
    </row>
    <row r="472" spans="1:84" ht="18.600000000000001" customHeight="1" x14ac:dyDescent="0.25">
      <c r="A472" s="60" t="s">
        <v>170</v>
      </c>
      <c r="B472" s="2" t="s">
        <v>1714</v>
      </c>
      <c r="C472" s="3" t="s">
        <v>2659</v>
      </c>
      <c r="D472" s="12" t="s">
        <v>1711</v>
      </c>
      <c r="E472" s="12" t="s">
        <v>1712</v>
      </c>
      <c r="F472" s="12" t="s">
        <v>4147</v>
      </c>
      <c r="G472" s="25">
        <v>37683</v>
      </c>
      <c r="H472" s="25">
        <v>32111</v>
      </c>
      <c r="I472" s="25">
        <v>1503</v>
      </c>
      <c r="J472" s="25">
        <v>2042</v>
      </c>
      <c r="K472" s="25">
        <v>28020</v>
      </c>
      <c r="L472" s="25">
        <v>27111</v>
      </c>
      <c r="M472" s="25">
        <v>55131</v>
      </c>
      <c r="N472" s="31">
        <v>0.51</v>
      </c>
      <c r="O472" s="25">
        <v>7319</v>
      </c>
      <c r="P472" s="25">
        <v>0</v>
      </c>
      <c r="Q472" s="25">
        <v>1659</v>
      </c>
      <c r="R472" s="25">
        <v>168</v>
      </c>
      <c r="S472" s="25">
        <v>71</v>
      </c>
      <c r="T472" s="25">
        <v>33</v>
      </c>
      <c r="U472" s="61">
        <v>96</v>
      </c>
      <c r="V472" s="58">
        <v>1.72E-2</v>
      </c>
      <c r="W472" s="33">
        <v>1.6400000000000001E-2</v>
      </c>
      <c r="X472" s="33">
        <v>1.23E-2</v>
      </c>
      <c r="Y472" s="33">
        <v>1.3100000000000001E-2</v>
      </c>
      <c r="Z472" s="33">
        <v>2.9499999999999998E-2</v>
      </c>
      <c r="AA472" s="33">
        <v>1.49E-2</v>
      </c>
      <c r="AB472" s="25">
        <v>398</v>
      </c>
      <c r="AC472" s="25">
        <v>361</v>
      </c>
      <c r="AD472" s="25">
        <v>8</v>
      </c>
      <c r="AE472" s="25">
        <v>2</v>
      </c>
      <c r="AF472" s="25">
        <v>19</v>
      </c>
      <c r="AG472" s="25">
        <v>4</v>
      </c>
      <c r="AH472" s="25">
        <v>4</v>
      </c>
      <c r="AI472" s="12">
        <v>0.91</v>
      </c>
      <c r="AJ472" s="25">
        <v>6269</v>
      </c>
      <c r="AK472" s="25">
        <v>1469</v>
      </c>
      <c r="AL472" s="33">
        <v>0.30599999999999999</v>
      </c>
      <c r="AM472" s="3" t="s">
        <v>2659</v>
      </c>
      <c r="AN472" s="12" t="s">
        <v>1712</v>
      </c>
      <c r="AO472" s="12" t="s">
        <v>1712</v>
      </c>
      <c r="AP472" s="12" t="str">
        <f>"451590061585930"</f>
        <v>451590061585930</v>
      </c>
      <c r="AQ472" s="12" t="s">
        <v>1711</v>
      </c>
      <c r="AR472" s="12"/>
      <c r="AS472" s="12" t="s">
        <v>4972</v>
      </c>
      <c r="AT472" s="12" t="s">
        <v>5880</v>
      </c>
      <c r="AU472" s="12" t="s">
        <v>309</v>
      </c>
      <c r="AV472" s="12"/>
      <c r="AW472" s="12"/>
      <c r="AX472" s="12">
        <v>0</v>
      </c>
      <c r="AY472" s="12">
        <v>420</v>
      </c>
      <c r="AZ472" s="12">
        <v>0</v>
      </c>
      <c r="BA472" s="12" t="s">
        <v>1713</v>
      </c>
      <c r="BB472" s="12"/>
      <c r="BC472" s="12" t="s">
        <v>6757</v>
      </c>
      <c r="BD472" s="12"/>
      <c r="BE472" s="12" t="s">
        <v>2291</v>
      </c>
      <c r="BF472" s="12"/>
      <c r="BG472" s="12"/>
      <c r="BH472" s="12"/>
      <c r="BI472" s="12"/>
      <c r="BJ472" s="12"/>
      <c r="BK472" s="12"/>
      <c r="BL472" s="12" t="s">
        <v>2292</v>
      </c>
      <c r="BM472" s="12" t="s">
        <v>2292</v>
      </c>
      <c r="BN472" s="12" t="s">
        <v>2292</v>
      </c>
      <c r="BO472" s="12" t="s">
        <v>2291</v>
      </c>
      <c r="BP472" s="12"/>
      <c r="BQ472" s="12"/>
      <c r="BR472" s="12"/>
      <c r="BS472" s="12"/>
      <c r="BT472" s="12"/>
      <c r="BU472" s="12"/>
      <c r="BV472" s="12"/>
      <c r="BW472" s="12"/>
      <c r="BX472" s="12"/>
      <c r="BY472" s="13" t="s">
        <v>313</v>
      </c>
      <c r="BZ472" s="13" t="s">
        <v>6170</v>
      </c>
      <c r="CA472" s="13" t="s">
        <v>6170</v>
      </c>
      <c r="CB472" s="13" t="s">
        <v>6197</v>
      </c>
      <c r="CC472" s="13"/>
      <c r="CD472" s="13" t="s">
        <v>6198</v>
      </c>
      <c r="CE472" s="13" t="s">
        <v>6175</v>
      </c>
      <c r="CF472" s="13"/>
    </row>
    <row r="473" spans="1:84" ht="18.600000000000001" customHeight="1" x14ac:dyDescent="0.25">
      <c r="A473" s="60" t="s">
        <v>170</v>
      </c>
      <c r="B473" s="2" t="s">
        <v>335</v>
      </c>
      <c r="C473" s="3" t="s">
        <v>2803</v>
      </c>
      <c r="D473" s="12" t="s">
        <v>1716</v>
      </c>
      <c r="E473" s="12" t="s">
        <v>1715</v>
      </c>
      <c r="F473" s="12" t="s">
        <v>4233</v>
      </c>
      <c r="G473" s="25">
        <v>8850</v>
      </c>
      <c r="H473" s="25">
        <v>7371</v>
      </c>
      <c r="I473" s="25">
        <v>141</v>
      </c>
      <c r="J473" s="25">
        <v>884</v>
      </c>
      <c r="K473" s="25">
        <v>11226</v>
      </c>
      <c r="L473" s="25">
        <v>4210</v>
      </c>
      <c r="M473" s="25">
        <v>15436</v>
      </c>
      <c r="N473" s="31">
        <v>0.73</v>
      </c>
      <c r="O473" s="25">
        <v>7479</v>
      </c>
      <c r="P473" s="25">
        <v>2028</v>
      </c>
      <c r="Q473" s="25">
        <v>357</v>
      </c>
      <c r="R473" s="25">
        <v>30</v>
      </c>
      <c r="S473" s="25">
        <v>17</v>
      </c>
      <c r="T473" s="25">
        <v>44</v>
      </c>
      <c r="U473" s="61">
        <v>6</v>
      </c>
      <c r="V473" s="58">
        <v>3.0999999999999999E-3</v>
      </c>
      <c r="W473" s="33">
        <v>3.0999999999999999E-3</v>
      </c>
      <c r="X473" s="33">
        <v>3.0999999999999999E-3</v>
      </c>
      <c r="Y473" s="33">
        <v>1.4E-3</v>
      </c>
      <c r="Z473" s="33">
        <v>3.8999999999999998E-3</v>
      </c>
      <c r="AA473" s="33">
        <v>1.1999999999999999E-3</v>
      </c>
      <c r="AB473" s="25">
        <v>482</v>
      </c>
      <c r="AC473" s="25">
        <v>296</v>
      </c>
      <c r="AD473" s="25">
        <v>121</v>
      </c>
      <c r="AE473" s="25">
        <v>8</v>
      </c>
      <c r="AF473" s="25">
        <v>19</v>
      </c>
      <c r="AG473" s="25">
        <v>17</v>
      </c>
      <c r="AH473" s="25">
        <v>21</v>
      </c>
      <c r="AI473" s="12">
        <v>1.1000000000000001</v>
      </c>
      <c r="AJ473" s="25">
        <v>6320</v>
      </c>
      <c r="AK473" s="25">
        <v>875</v>
      </c>
      <c r="AL473" s="33">
        <v>0.16070000000000001</v>
      </c>
      <c r="AM473" s="3" t="s">
        <v>2803</v>
      </c>
      <c r="AN473" s="12" t="s">
        <v>1715</v>
      </c>
      <c r="AO473" s="12" t="s">
        <v>1715</v>
      </c>
      <c r="AP473" s="12" t="str">
        <f>"141217272588202"</f>
        <v>141217272588202</v>
      </c>
      <c r="AQ473" s="12" t="s">
        <v>1716</v>
      </c>
      <c r="AR473" s="12" t="s">
        <v>1717</v>
      </c>
      <c r="AS473" s="12" t="s">
        <v>2804</v>
      </c>
      <c r="AT473" s="12"/>
      <c r="AU473" s="12" t="s">
        <v>324</v>
      </c>
      <c r="AV473" s="12" t="s">
        <v>5731</v>
      </c>
      <c r="AW473" s="12"/>
      <c r="AX473" s="12">
        <v>1242</v>
      </c>
      <c r="AY473" s="12">
        <v>138</v>
      </c>
      <c r="AZ473" s="12">
        <v>1242</v>
      </c>
      <c r="BA473" s="12" t="s">
        <v>1718</v>
      </c>
      <c r="BB473" s="12" t="s">
        <v>6968</v>
      </c>
      <c r="BC473" s="12" t="s">
        <v>6969</v>
      </c>
      <c r="BD473" s="12"/>
      <c r="BE473" s="12" t="s">
        <v>2291</v>
      </c>
      <c r="BF473" s="12"/>
      <c r="BG473" s="12"/>
      <c r="BH473" s="12"/>
      <c r="BI473" s="12"/>
      <c r="BJ473" s="12"/>
      <c r="BK473" s="12" t="s">
        <v>6575</v>
      </c>
      <c r="BL473" s="12" t="s">
        <v>2292</v>
      </c>
      <c r="BM473" s="12" t="s">
        <v>2292</v>
      </c>
      <c r="BN473" s="12" t="s">
        <v>2292</v>
      </c>
      <c r="BO473" s="12" t="s">
        <v>2291</v>
      </c>
      <c r="BP473" s="12"/>
      <c r="BQ473" s="12"/>
      <c r="BR473" s="12"/>
      <c r="BS473" s="12"/>
      <c r="BT473" s="12" t="s">
        <v>1719</v>
      </c>
      <c r="BU473" s="12" t="s">
        <v>326</v>
      </c>
      <c r="BV473" s="12"/>
      <c r="BW473" s="12" t="s">
        <v>4699</v>
      </c>
      <c r="BX473" s="12"/>
      <c r="BY473" s="13" t="s">
        <v>313</v>
      </c>
      <c r="BZ473" s="13" t="s">
        <v>6170</v>
      </c>
      <c r="CA473" s="13" t="s">
        <v>6170</v>
      </c>
      <c r="CB473" s="13" t="s">
        <v>6199</v>
      </c>
      <c r="CC473" s="13"/>
      <c r="CD473" s="13" t="s">
        <v>6198</v>
      </c>
      <c r="CE473" s="13" t="s">
        <v>6175</v>
      </c>
      <c r="CF473" s="13"/>
    </row>
    <row r="474" spans="1:84" ht="18.600000000000001" customHeight="1" x14ac:dyDescent="0.25">
      <c r="A474" s="60" t="s">
        <v>171</v>
      </c>
      <c r="B474" s="2" t="s">
        <v>1725</v>
      </c>
      <c r="C474" s="3" t="s">
        <v>2364</v>
      </c>
      <c r="D474" s="12" t="s">
        <v>1720</v>
      </c>
      <c r="E474" s="12" t="s">
        <v>1721</v>
      </c>
      <c r="F474" s="12" t="s">
        <v>3973</v>
      </c>
      <c r="G474" s="25">
        <v>399996</v>
      </c>
      <c r="H474" s="25">
        <v>357580</v>
      </c>
      <c r="I474" s="25">
        <v>20702</v>
      </c>
      <c r="J474" s="25">
        <v>9460</v>
      </c>
      <c r="K474" s="25">
        <v>1665108</v>
      </c>
      <c r="L474" s="25">
        <v>643620</v>
      </c>
      <c r="M474" s="25">
        <v>2308728</v>
      </c>
      <c r="N474" s="31">
        <v>0.72</v>
      </c>
      <c r="O474" s="25">
        <v>87862</v>
      </c>
      <c r="P474" s="25">
        <v>206</v>
      </c>
      <c r="Q474" s="25">
        <v>8320</v>
      </c>
      <c r="R474" s="25">
        <v>879</v>
      </c>
      <c r="S474" s="25">
        <v>1640</v>
      </c>
      <c r="T474" s="25">
        <v>632</v>
      </c>
      <c r="U474" s="61">
        <v>783</v>
      </c>
      <c r="V474" s="58">
        <v>7.4999999999999997E-3</v>
      </c>
      <c r="W474" s="33">
        <v>7.3000000000000001E-3</v>
      </c>
      <c r="X474" s="33">
        <v>6.1999999999999998E-3</v>
      </c>
      <c r="Y474" s="33">
        <v>1E-3</v>
      </c>
      <c r="Z474" s="33">
        <v>9.2999999999999992E-3</v>
      </c>
      <c r="AA474" s="33">
        <v>3.8999999999999998E-3</v>
      </c>
      <c r="AB474" s="25">
        <v>988</v>
      </c>
      <c r="AC474" s="25">
        <v>612</v>
      </c>
      <c r="AD474" s="25">
        <v>103</v>
      </c>
      <c r="AE474" s="25">
        <v>3</v>
      </c>
      <c r="AF474" s="25">
        <v>244</v>
      </c>
      <c r="AG474" s="25">
        <v>20</v>
      </c>
      <c r="AH474" s="25">
        <v>6</v>
      </c>
      <c r="AI474" s="12">
        <v>2.25</v>
      </c>
      <c r="AJ474" s="25">
        <v>57598</v>
      </c>
      <c r="AK474" s="25">
        <v>8558</v>
      </c>
      <c r="AL474" s="33">
        <v>0.17449999999999999</v>
      </c>
      <c r="AM474" s="3" t="s">
        <v>2364</v>
      </c>
      <c r="AN474" s="12" t="s">
        <v>1721</v>
      </c>
      <c r="AO474" s="12" t="s">
        <v>1721</v>
      </c>
      <c r="AP474" s="12" t="str">
        <f>"12464967858"</f>
        <v>12464967858</v>
      </c>
      <c r="AQ474" s="12" t="s">
        <v>1720</v>
      </c>
      <c r="AR474" s="12" t="s">
        <v>1722</v>
      </c>
      <c r="AS474" s="12" t="s">
        <v>2365</v>
      </c>
      <c r="AT474" s="12" t="s">
        <v>2366</v>
      </c>
      <c r="AU474" s="12" t="s">
        <v>309</v>
      </c>
      <c r="AV474" s="12"/>
      <c r="AW474" s="12"/>
      <c r="AX474" s="12">
        <v>2</v>
      </c>
      <c r="AY474" s="12">
        <v>710</v>
      </c>
      <c r="AZ474" s="12">
        <v>0</v>
      </c>
      <c r="BA474" s="12" t="s">
        <v>1723</v>
      </c>
      <c r="BB474" s="12" t="s">
        <v>6349</v>
      </c>
      <c r="BC474" s="12" t="s">
        <v>6350</v>
      </c>
      <c r="BD474" s="12"/>
      <c r="BE474" s="12" t="s">
        <v>2291</v>
      </c>
      <c r="BF474" s="12"/>
      <c r="BG474" s="12"/>
      <c r="BH474" s="12"/>
      <c r="BI474" s="12"/>
      <c r="BJ474" s="12"/>
      <c r="BK474" s="12"/>
      <c r="BL474" s="12" t="s">
        <v>2292</v>
      </c>
      <c r="BM474" s="12" t="s">
        <v>2292</v>
      </c>
      <c r="BN474" s="12" t="s">
        <v>2292</v>
      </c>
      <c r="BO474" s="12" t="s">
        <v>2292</v>
      </c>
      <c r="BP474" s="12"/>
      <c r="BQ474" s="12"/>
      <c r="BR474" s="12"/>
      <c r="BS474" s="12"/>
      <c r="BT474" s="12"/>
      <c r="BU474" s="12"/>
      <c r="BV474" s="12"/>
      <c r="BW474" s="12" t="s">
        <v>1724</v>
      </c>
      <c r="BX474" s="12"/>
      <c r="BY474" s="13" t="s">
        <v>313</v>
      </c>
      <c r="BZ474" s="13" t="s">
        <v>6170</v>
      </c>
      <c r="CA474" s="13" t="s">
        <v>6170</v>
      </c>
      <c r="CB474" s="13" t="s">
        <v>6201</v>
      </c>
      <c r="CC474" s="13"/>
      <c r="CD474" s="13" t="s">
        <v>6198</v>
      </c>
      <c r="CE474" s="13" t="s">
        <v>6180</v>
      </c>
      <c r="CF474" s="13"/>
    </row>
    <row r="475" spans="1:84" ht="18.600000000000001" customHeight="1" x14ac:dyDescent="0.25">
      <c r="A475" s="60" t="s">
        <v>171</v>
      </c>
      <c r="B475" s="2" t="s">
        <v>1728</v>
      </c>
      <c r="C475" s="3" t="s">
        <v>2762</v>
      </c>
      <c r="D475" s="12" t="s">
        <v>4790</v>
      </c>
      <c r="E475" s="12" t="s">
        <v>1726</v>
      </c>
      <c r="F475" s="12" t="s">
        <v>4204</v>
      </c>
      <c r="G475" s="25">
        <v>46328</v>
      </c>
      <c r="H475" s="25">
        <v>34343</v>
      </c>
      <c r="I475" s="25">
        <v>5325</v>
      </c>
      <c r="J475" s="25">
        <v>4410</v>
      </c>
      <c r="K475" s="25">
        <v>110836</v>
      </c>
      <c r="L475" s="25">
        <v>55345</v>
      </c>
      <c r="M475" s="25">
        <v>166181</v>
      </c>
      <c r="N475" s="31">
        <v>0.67</v>
      </c>
      <c r="O475" s="25">
        <v>30152</v>
      </c>
      <c r="P475" s="25">
        <v>2641</v>
      </c>
      <c r="Q475" s="25">
        <v>846</v>
      </c>
      <c r="R475" s="25">
        <v>190</v>
      </c>
      <c r="S475" s="25">
        <v>538</v>
      </c>
      <c r="T475" s="25">
        <v>150</v>
      </c>
      <c r="U475" s="61">
        <v>526</v>
      </c>
      <c r="V475" s="58">
        <v>4.7999999999999996E-3</v>
      </c>
      <c r="W475" s="33">
        <v>5.0000000000000001E-3</v>
      </c>
      <c r="X475" s="33">
        <v>4.5999999999999999E-3</v>
      </c>
      <c r="Y475" s="33">
        <v>8.9999999999999993E-3</v>
      </c>
      <c r="Z475" s="33">
        <v>5.0000000000000001E-3</v>
      </c>
      <c r="AA475" s="33">
        <v>3.0000000000000001E-3</v>
      </c>
      <c r="AB475" s="25">
        <v>801</v>
      </c>
      <c r="AC475" s="25">
        <v>520</v>
      </c>
      <c r="AD475" s="25">
        <v>144</v>
      </c>
      <c r="AE475" s="25">
        <v>2</v>
      </c>
      <c r="AF475" s="25">
        <v>95</v>
      </c>
      <c r="AG475" s="25">
        <v>34</v>
      </c>
      <c r="AH475" s="25">
        <v>6</v>
      </c>
      <c r="AI475" s="12">
        <v>1.82</v>
      </c>
      <c r="AJ475" s="25">
        <v>12296</v>
      </c>
      <c r="AK475" s="25">
        <v>976</v>
      </c>
      <c r="AL475" s="33">
        <v>8.6199999999999999E-2</v>
      </c>
      <c r="AM475" s="3" t="s">
        <v>2762</v>
      </c>
      <c r="AN475" s="12" t="s">
        <v>1726</v>
      </c>
      <c r="AO475" s="12" t="s">
        <v>1726</v>
      </c>
      <c r="AP475" s="12" t="str">
        <f>"1482330235332672"</f>
        <v>1482330235332672</v>
      </c>
      <c r="AQ475" s="12" t="s">
        <v>4790</v>
      </c>
      <c r="AR475" s="12" t="s">
        <v>4839</v>
      </c>
      <c r="AS475" s="12" t="s">
        <v>2763</v>
      </c>
      <c r="AT475" s="12" t="s">
        <v>2764</v>
      </c>
      <c r="AU475" s="12" t="s">
        <v>309</v>
      </c>
      <c r="AV475" s="12"/>
      <c r="AW475" s="12"/>
      <c r="AX475" s="12">
        <v>0</v>
      </c>
      <c r="AY475" s="12">
        <v>436</v>
      </c>
      <c r="AZ475" s="12">
        <v>0</v>
      </c>
      <c r="BA475" s="12" t="s">
        <v>1727</v>
      </c>
      <c r="BB475" s="12"/>
      <c r="BC475" s="12" t="s">
        <v>6918</v>
      </c>
      <c r="BD475" s="12"/>
      <c r="BE475" s="12" t="s">
        <v>2291</v>
      </c>
      <c r="BF475" s="12"/>
      <c r="BG475" s="12"/>
      <c r="BH475" s="12"/>
      <c r="BI475" s="12" t="s">
        <v>4840</v>
      </c>
      <c r="BJ475" s="12"/>
      <c r="BK475" s="12"/>
      <c r="BL475" s="12" t="s">
        <v>2292</v>
      </c>
      <c r="BM475" s="12" t="s">
        <v>2292</v>
      </c>
      <c r="BN475" s="12" t="s">
        <v>2292</v>
      </c>
      <c r="BO475" s="12" t="s">
        <v>2291</v>
      </c>
      <c r="BP475" s="12"/>
      <c r="BQ475" s="12"/>
      <c r="BR475" s="12"/>
      <c r="BS475" s="12"/>
      <c r="BT475" s="12"/>
      <c r="BU475" s="12"/>
      <c r="BV475" s="12"/>
      <c r="BW475" s="12"/>
      <c r="BX475" s="12"/>
      <c r="BY475" s="13" t="s">
        <v>313</v>
      </c>
      <c r="BZ475" s="13" t="s">
        <v>6174</v>
      </c>
      <c r="CA475" s="13"/>
      <c r="CB475" s="13"/>
      <c r="CC475" s="13"/>
      <c r="CD475" s="13"/>
      <c r="CE475" s="13"/>
      <c r="CF475" s="13"/>
    </row>
    <row r="476" spans="1:84" ht="18.600000000000001" customHeight="1" x14ac:dyDescent="0.25">
      <c r="A476" s="60" t="s">
        <v>171</v>
      </c>
      <c r="B476" s="2" t="s">
        <v>315</v>
      </c>
      <c r="C476" s="20" t="s">
        <v>3890</v>
      </c>
      <c r="D476" s="12" t="s">
        <v>3193</v>
      </c>
      <c r="E476" s="12" t="s">
        <v>4424</v>
      </c>
      <c r="F476" s="12" t="s">
        <v>4425</v>
      </c>
      <c r="G476" s="25">
        <v>11946</v>
      </c>
      <c r="H476" s="25">
        <v>7198</v>
      </c>
      <c r="I476" s="25">
        <v>1119</v>
      </c>
      <c r="J476" s="25">
        <v>3299</v>
      </c>
      <c r="K476" s="25">
        <v>68021</v>
      </c>
      <c r="L476" s="25">
        <v>103299</v>
      </c>
      <c r="M476" s="25">
        <v>171320</v>
      </c>
      <c r="N476" s="31">
        <v>0.4</v>
      </c>
      <c r="O476" s="25">
        <v>4469</v>
      </c>
      <c r="P476" s="25">
        <v>5006</v>
      </c>
      <c r="Q476" s="25">
        <v>122</v>
      </c>
      <c r="R476" s="25">
        <v>63</v>
      </c>
      <c r="S476" s="25">
        <v>69</v>
      </c>
      <c r="T476" s="25">
        <v>31</v>
      </c>
      <c r="U476" s="61">
        <v>45</v>
      </c>
      <c r="V476" s="58">
        <v>7.6E-3</v>
      </c>
      <c r="W476" s="33">
        <v>5.8999999999999999E-3</v>
      </c>
      <c r="X476" s="33">
        <v>6.8999999999999999E-3</v>
      </c>
      <c r="Y476" s="33">
        <v>1.06E-2</v>
      </c>
      <c r="Z476" s="33">
        <v>1.3599999999999999E-2</v>
      </c>
      <c r="AA476" s="33">
        <v>1.6999999999999999E-3</v>
      </c>
      <c r="AB476" s="25">
        <v>629</v>
      </c>
      <c r="AC476" s="25">
        <v>288</v>
      </c>
      <c r="AD476" s="25">
        <v>150</v>
      </c>
      <c r="AE476" s="25">
        <v>5</v>
      </c>
      <c r="AF476" s="25">
        <v>162</v>
      </c>
      <c r="AG476" s="25">
        <v>22</v>
      </c>
      <c r="AH476" s="25">
        <v>2</v>
      </c>
      <c r="AI476" s="12">
        <v>1.43</v>
      </c>
      <c r="AJ476" s="25">
        <v>3098</v>
      </c>
      <c r="AK476" s="25">
        <v>1797</v>
      </c>
      <c r="AL476" s="33">
        <v>1.3812</v>
      </c>
      <c r="AM476" s="20" t="s">
        <v>3890</v>
      </c>
      <c r="AN476" s="12" t="s">
        <v>4424</v>
      </c>
      <c r="AO476" s="12" t="s">
        <v>4424</v>
      </c>
      <c r="AP476" s="12" t="str">
        <f>"1193175320710704"</f>
        <v>1193175320710704</v>
      </c>
      <c r="AQ476" s="12" t="s">
        <v>3193</v>
      </c>
      <c r="AR476" s="12" t="s">
        <v>3796</v>
      </c>
      <c r="AS476" s="12" t="s">
        <v>4713</v>
      </c>
      <c r="AT476" s="12"/>
      <c r="AU476" s="12" t="s">
        <v>324</v>
      </c>
      <c r="AV476" s="12"/>
      <c r="AW476" s="12"/>
      <c r="AX476" s="12">
        <v>0</v>
      </c>
      <c r="AY476" s="12">
        <v>996</v>
      </c>
      <c r="AZ476" s="12">
        <v>0</v>
      </c>
      <c r="BA476" s="12" t="s">
        <v>4661</v>
      </c>
      <c r="BB476" s="12" t="s">
        <v>7385</v>
      </c>
      <c r="BC476" s="12" t="s">
        <v>7386</v>
      </c>
      <c r="BD476" s="12"/>
      <c r="BE476" s="12" t="s">
        <v>2291</v>
      </c>
      <c r="BF476" s="12"/>
      <c r="BG476" s="12"/>
      <c r="BH476" s="12"/>
      <c r="BI476" s="12" t="s">
        <v>4662</v>
      </c>
      <c r="BJ476" s="12"/>
      <c r="BK476" s="12"/>
      <c r="BL476" s="12" t="s">
        <v>2292</v>
      </c>
      <c r="BM476" s="12" t="s">
        <v>2292</v>
      </c>
      <c r="BN476" s="12" t="s">
        <v>2292</v>
      </c>
      <c r="BO476" s="12" t="s">
        <v>2292</v>
      </c>
      <c r="BP476" s="12"/>
      <c r="BQ476" s="12"/>
      <c r="BR476" s="12"/>
      <c r="BS476" s="12"/>
      <c r="BT476" s="12"/>
      <c r="BU476" s="12"/>
      <c r="BV476" s="12"/>
      <c r="BW476" s="12" t="s">
        <v>4663</v>
      </c>
      <c r="BX476" s="12"/>
      <c r="BY476" s="13" t="s">
        <v>313</v>
      </c>
      <c r="BZ476" s="13" t="s">
        <v>312</v>
      </c>
      <c r="CA476" s="13" t="s">
        <v>6170</v>
      </c>
      <c r="CB476" s="13" t="s">
        <v>6200</v>
      </c>
      <c r="CC476" s="13"/>
      <c r="CD476" s="13" t="s">
        <v>6198</v>
      </c>
      <c r="CE476" s="13"/>
      <c r="CF476" s="13"/>
    </row>
    <row r="477" spans="1:84" ht="18.600000000000001" customHeight="1" x14ac:dyDescent="0.25">
      <c r="A477" s="60" t="s">
        <v>171</v>
      </c>
      <c r="B477" s="2" t="s">
        <v>335</v>
      </c>
      <c r="C477" s="3" t="s">
        <v>3895</v>
      </c>
      <c r="D477" s="12" t="s">
        <v>1729</v>
      </c>
      <c r="E477" s="12" t="s">
        <v>3474</v>
      </c>
      <c r="F477" s="12" t="s">
        <v>4187</v>
      </c>
      <c r="G477" s="25">
        <v>6769</v>
      </c>
      <c r="H477" s="25">
        <v>6032</v>
      </c>
      <c r="I477" s="25">
        <v>75</v>
      </c>
      <c r="J477" s="25">
        <v>571</v>
      </c>
      <c r="K477" s="25">
        <v>415</v>
      </c>
      <c r="L477" s="25">
        <v>34</v>
      </c>
      <c r="M477" s="25">
        <v>449</v>
      </c>
      <c r="N477" s="31">
        <v>0.92</v>
      </c>
      <c r="O477" s="25">
        <v>5786</v>
      </c>
      <c r="P477" s="25">
        <v>20</v>
      </c>
      <c r="Q477" s="25">
        <v>67</v>
      </c>
      <c r="R477" s="25">
        <v>6</v>
      </c>
      <c r="S477" s="25">
        <v>15</v>
      </c>
      <c r="T477" s="25">
        <v>3</v>
      </c>
      <c r="U477" s="61">
        <v>0</v>
      </c>
      <c r="V477" s="58">
        <v>2.8999999999999998E-3</v>
      </c>
      <c r="W477" s="33">
        <v>3.0000000000000001E-3</v>
      </c>
      <c r="X477" s="33">
        <v>2.0999999999999999E-3</v>
      </c>
      <c r="Y477" s="33">
        <v>1.6000000000000001E-3</v>
      </c>
      <c r="Z477" s="33">
        <v>4.0000000000000002E-4</v>
      </c>
      <c r="AA477" s="33">
        <v>1.1999999999999999E-3</v>
      </c>
      <c r="AB477" s="25">
        <v>963</v>
      </c>
      <c r="AC477" s="25">
        <v>703</v>
      </c>
      <c r="AD477" s="25">
        <v>197</v>
      </c>
      <c r="AE477" s="25">
        <v>3</v>
      </c>
      <c r="AF477" s="25">
        <v>5</v>
      </c>
      <c r="AG477" s="25">
        <v>36</v>
      </c>
      <c r="AH477" s="25">
        <v>19</v>
      </c>
      <c r="AI477" s="12">
        <v>2.19</v>
      </c>
      <c r="AJ477" s="25">
        <v>2680</v>
      </c>
      <c r="AK477" s="25">
        <v>662</v>
      </c>
      <c r="AL477" s="33">
        <v>0.32800000000000001</v>
      </c>
      <c r="AM477" s="3" t="s">
        <v>3895</v>
      </c>
      <c r="AN477" s="12" t="s">
        <v>3474</v>
      </c>
      <c r="AO477" s="12" t="s">
        <v>3474</v>
      </c>
      <c r="AP477" s="12" t="str">
        <f>"140650099320596"</f>
        <v>140650099320596</v>
      </c>
      <c r="AQ477" s="12" t="s">
        <v>1729</v>
      </c>
      <c r="AR477" s="12" t="s">
        <v>1730</v>
      </c>
      <c r="AS477" s="12" t="s">
        <v>2990</v>
      </c>
      <c r="AT477" s="12"/>
      <c r="AU477" s="12" t="s">
        <v>324</v>
      </c>
      <c r="AV477" s="12" t="s">
        <v>5905</v>
      </c>
      <c r="AW477" s="12"/>
      <c r="AX477" s="12">
        <v>136</v>
      </c>
      <c r="AY477" s="12">
        <v>66</v>
      </c>
      <c r="AZ477" s="12">
        <v>0</v>
      </c>
      <c r="BA477" s="12" t="s">
        <v>3475</v>
      </c>
      <c r="BB477" s="12" t="s">
        <v>6854</v>
      </c>
      <c r="BC477" s="12" t="s">
        <v>6855</v>
      </c>
      <c r="BD477" s="12"/>
      <c r="BE477" s="12" t="s">
        <v>2291</v>
      </c>
      <c r="BF477" s="12"/>
      <c r="BG477" s="12"/>
      <c r="BH477" s="12"/>
      <c r="BI477" s="12" t="s">
        <v>1731</v>
      </c>
      <c r="BJ477" s="12" t="s">
        <v>2991</v>
      </c>
      <c r="BK477" s="12"/>
      <c r="BL477" s="12" t="s">
        <v>2292</v>
      </c>
      <c r="BM477" s="12" t="s">
        <v>2292</v>
      </c>
      <c r="BN477" s="12" t="s">
        <v>2292</v>
      </c>
      <c r="BO477" s="12" t="s">
        <v>2292</v>
      </c>
      <c r="BP477" s="12" t="s">
        <v>1732</v>
      </c>
      <c r="BQ477" s="12"/>
      <c r="BR477" s="12"/>
      <c r="BS477" s="12"/>
      <c r="BT477" s="12" t="s">
        <v>2992</v>
      </c>
      <c r="BU477" s="12" t="s">
        <v>326</v>
      </c>
      <c r="BV477" s="12"/>
      <c r="BW477" s="12" t="s">
        <v>3843</v>
      </c>
      <c r="BX477" s="12"/>
      <c r="BY477" s="13" t="s">
        <v>313</v>
      </c>
      <c r="BZ477" s="13" t="s">
        <v>6170</v>
      </c>
      <c r="CA477" s="13" t="s">
        <v>6170</v>
      </c>
      <c r="CB477" s="13" t="s">
        <v>312</v>
      </c>
      <c r="CC477" s="13"/>
      <c r="CD477" s="13" t="s">
        <v>6198</v>
      </c>
      <c r="CE477" s="13"/>
      <c r="CF477" s="13"/>
    </row>
    <row r="478" spans="1:84" ht="18.600000000000001" customHeight="1" x14ac:dyDescent="0.25">
      <c r="A478" s="60" t="s">
        <v>172</v>
      </c>
      <c r="B478" s="2" t="s">
        <v>1735</v>
      </c>
      <c r="C478" s="3" t="s">
        <v>2676</v>
      </c>
      <c r="D478" s="12" t="s">
        <v>1733</v>
      </c>
      <c r="E478" s="12"/>
      <c r="F478" s="12" t="s">
        <v>4475</v>
      </c>
      <c r="G478" s="25">
        <v>866731</v>
      </c>
      <c r="H478" s="25">
        <v>549959</v>
      </c>
      <c r="I478" s="25">
        <v>114478</v>
      </c>
      <c r="J478" s="25">
        <v>115696</v>
      </c>
      <c r="K478" s="25">
        <v>4233778</v>
      </c>
      <c r="L478" s="25">
        <v>2209227</v>
      </c>
      <c r="M478" s="25">
        <v>6443005</v>
      </c>
      <c r="N478" s="31">
        <v>0.66</v>
      </c>
      <c r="O478" s="25">
        <v>0</v>
      </c>
      <c r="P478" s="25">
        <v>0</v>
      </c>
      <c r="Q478" s="25">
        <v>51627</v>
      </c>
      <c r="R478" s="25">
        <v>1208</v>
      </c>
      <c r="S478" s="25">
        <v>9007</v>
      </c>
      <c r="T478" s="25">
        <v>13880</v>
      </c>
      <c r="U478" s="61">
        <v>10732</v>
      </c>
      <c r="V478" s="58">
        <v>1.17E-2</v>
      </c>
      <c r="W478" s="33">
        <v>1.04E-2</v>
      </c>
      <c r="X478" s="33">
        <v>5.3E-3</v>
      </c>
      <c r="Y478" s="33">
        <v>1.7299999999999999E-2</v>
      </c>
      <c r="Z478" s="33">
        <v>1.35E-2</v>
      </c>
      <c r="AA478" s="12" t="s">
        <v>3926</v>
      </c>
      <c r="AB478" s="25">
        <v>301</v>
      </c>
      <c r="AC478" s="25">
        <v>127</v>
      </c>
      <c r="AD478" s="25">
        <v>24</v>
      </c>
      <c r="AE478" s="25">
        <v>13</v>
      </c>
      <c r="AF478" s="25">
        <v>137</v>
      </c>
      <c r="AG478" s="25">
        <v>0</v>
      </c>
      <c r="AH478" s="25">
        <v>0</v>
      </c>
      <c r="AI478" s="12">
        <v>0.69</v>
      </c>
      <c r="AJ478" s="25">
        <v>259780</v>
      </c>
      <c r="AK478" s="25">
        <v>27601</v>
      </c>
      <c r="AL478" s="33">
        <v>0.11890000000000001</v>
      </c>
      <c r="AM478" s="3" t="s">
        <v>2676</v>
      </c>
      <c r="AN478" s="12" t="s">
        <v>5358</v>
      </c>
      <c r="AO478" s="12"/>
      <c r="AP478" s="12" t="str">
        <f>"54212446406"</f>
        <v>54212446406</v>
      </c>
      <c r="AQ478" s="12" t="s">
        <v>1733</v>
      </c>
      <c r="AR478" s="12" t="s">
        <v>3783</v>
      </c>
      <c r="AS478" s="12" t="s">
        <v>3784</v>
      </c>
      <c r="AT478" s="12"/>
      <c r="AU478" s="12" t="s">
        <v>309</v>
      </c>
      <c r="AV478" s="12"/>
      <c r="AW478" s="12"/>
      <c r="AX478" s="12">
        <v>42</v>
      </c>
      <c r="AY478" s="12">
        <v>11645</v>
      </c>
      <c r="AZ478" s="12">
        <v>0</v>
      </c>
      <c r="BA478" s="12" t="s">
        <v>1734</v>
      </c>
      <c r="BB478" s="12"/>
      <c r="BC478" s="12" t="s">
        <v>6798</v>
      </c>
      <c r="BD478" s="12"/>
      <c r="BE478" s="12" t="s">
        <v>2291</v>
      </c>
      <c r="BF478" s="12"/>
      <c r="BG478" s="12"/>
      <c r="BH478" s="12"/>
      <c r="BI478" s="12"/>
      <c r="BJ478" s="12"/>
      <c r="BK478" s="12"/>
      <c r="BL478" s="12" t="s">
        <v>2292</v>
      </c>
      <c r="BM478" s="12" t="s">
        <v>2292</v>
      </c>
      <c r="BN478" s="12" t="s">
        <v>2292</v>
      </c>
      <c r="BO478" s="12" t="s">
        <v>2291</v>
      </c>
      <c r="BP478" s="12"/>
      <c r="BQ478" s="12"/>
      <c r="BR478" s="12"/>
      <c r="BS478" s="12"/>
      <c r="BT478" s="12"/>
      <c r="BU478" s="12"/>
      <c r="BV478" s="12"/>
      <c r="BW478" s="12"/>
      <c r="BX478" s="12"/>
      <c r="BY478" s="13" t="s">
        <v>313</v>
      </c>
      <c r="BZ478" s="13" t="s">
        <v>6170</v>
      </c>
      <c r="CA478" s="13" t="s">
        <v>6170</v>
      </c>
      <c r="CB478" s="13" t="s">
        <v>6197</v>
      </c>
      <c r="CC478" s="13"/>
      <c r="CD478" s="13" t="s">
        <v>6198</v>
      </c>
      <c r="CE478" s="13"/>
      <c r="CF478" s="13"/>
    </row>
    <row r="479" spans="1:84" ht="18.600000000000001" customHeight="1" x14ac:dyDescent="0.25">
      <c r="A479" s="60" t="s">
        <v>172</v>
      </c>
      <c r="B479" s="2" t="s">
        <v>315</v>
      </c>
      <c r="C479" s="3" t="s">
        <v>2837</v>
      </c>
      <c r="D479" s="12" t="s">
        <v>1736</v>
      </c>
      <c r="E479" s="12" t="s">
        <v>1737</v>
      </c>
      <c r="F479" s="12" t="s">
        <v>4252</v>
      </c>
      <c r="G479" s="25">
        <v>58862</v>
      </c>
      <c r="H479" s="25">
        <v>37911</v>
      </c>
      <c r="I479" s="25">
        <v>3156</v>
      </c>
      <c r="J479" s="25">
        <v>14612</v>
      </c>
      <c r="K479" s="25">
        <v>0</v>
      </c>
      <c r="L479" s="25">
        <v>0</v>
      </c>
      <c r="M479" s="25">
        <v>0</v>
      </c>
      <c r="N479" s="31">
        <v>0</v>
      </c>
      <c r="O479" s="25">
        <v>0</v>
      </c>
      <c r="P479" s="25">
        <v>0</v>
      </c>
      <c r="Q479" s="25">
        <v>2109</v>
      </c>
      <c r="R479" s="25">
        <v>425</v>
      </c>
      <c r="S479" s="25">
        <v>149</v>
      </c>
      <c r="T479" s="25">
        <v>149</v>
      </c>
      <c r="U479" s="61">
        <v>350</v>
      </c>
      <c r="V479" s="58">
        <v>2.7000000000000001E-3</v>
      </c>
      <c r="W479" s="33">
        <v>2.5000000000000001E-3</v>
      </c>
      <c r="X479" s="33">
        <v>2.7000000000000001E-3</v>
      </c>
      <c r="Y479" s="12" t="s">
        <v>3926</v>
      </c>
      <c r="Z479" s="12" t="s">
        <v>3926</v>
      </c>
      <c r="AA479" s="12" t="s">
        <v>3926</v>
      </c>
      <c r="AB479" s="25">
        <v>1022</v>
      </c>
      <c r="AC479" s="25">
        <v>56</v>
      </c>
      <c r="AD479" s="25">
        <v>966</v>
      </c>
      <c r="AE479" s="25">
        <v>0</v>
      </c>
      <c r="AF479" s="25">
        <v>0</v>
      </c>
      <c r="AG479" s="25">
        <v>0</v>
      </c>
      <c r="AH479" s="25">
        <v>0</v>
      </c>
      <c r="AI479" s="12">
        <v>2.33</v>
      </c>
      <c r="AJ479" s="25">
        <v>21987</v>
      </c>
      <c r="AK479" s="25">
        <v>1709</v>
      </c>
      <c r="AL479" s="33">
        <v>8.43E-2</v>
      </c>
      <c r="AM479" s="3" t="s">
        <v>2837</v>
      </c>
      <c r="AN479" s="12" t="s">
        <v>1737</v>
      </c>
      <c r="AO479" s="12" t="s">
        <v>1737</v>
      </c>
      <c r="AP479" s="12" t="str">
        <f>"271484039577944"</f>
        <v>271484039577944</v>
      </c>
      <c r="AQ479" s="12" t="s">
        <v>1736</v>
      </c>
      <c r="AR479" s="12" t="s">
        <v>1738</v>
      </c>
      <c r="AS479" s="12" t="s">
        <v>3253</v>
      </c>
      <c r="AT479" s="12"/>
      <c r="AU479" s="12" t="s">
        <v>324</v>
      </c>
      <c r="AV479" s="12" t="s">
        <v>5731</v>
      </c>
      <c r="AW479" s="12"/>
      <c r="AX479" s="12">
        <v>263</v>
      </c>
      <c r="AY479" s="12">
        <v>256</v>
      </c>
      <c r="AZ479" s="12">
        <v>263</v>
      </c>
      <c r="BA479" s="12" t="s">
        <v>1739</v>
      </c>
      <c r="BB479" s="12" t="s">
        <v>7002</v>
      </c>
      <c r="BC479" s="12" t="s">
        <v>7003</v>
      </c>
      <c r="BD479" s="12"/>
      <c r="BE479" s="12" t="s">
        <v>2291</v>
      </c>
      <c r="BF479" s="12"/>
      <c r="BG479" s="12"/>
      <c r="BH479" s="12"/>
      <c r="BI479" s="12" t="s">
        <v>3254</v>
      </c>
      <c r="BJ479" s="12"/>
      <c r="BK479" s="12"/>
      <c r="BL479" s="12" t="s">
        <v>2292</v>
      </c>
      <c r="BM479" s="12" t="s">
        <v>2292</v>
      </c>
      <c r="BN479" s="12" t="s">
        <v>2292</v>
      </c>
      <c r="BO479" s="12" t="s">
        <v>2291</v>
      </c>
      <c r="BP479" s="12"/>
      <c r="BQ479" s="12"/>
      <c r="BR479" s="12"/>
      <c r="BS479" s="12"/>
      <c r="BT479" s="12"/>
      <c r="BU479" s="12" t="s">
        <v>326</v>
      </c>
      <c r="BV479" s="12"/>
      <c r="BW479" s="12" t="s">
        <v>1740</v>
      </c>
      <c r="BX479" s="12"/>
      <c r="BY479" s="13" t="s">
        <v>313</v>
      </c>
      <c r="BZ479" s="13" t="s">
        <v>6170</v>
      </c>
      <c r="CA479" s="13" t="s">
        <v>6170</v>
      </c>
      <c r="CB479" s="13" t="s">
        <v>312</v>
      </c>
      <c r="CC479" s="13"/>
      <c r="CD479" s="13" t="s">
        <v>6198</v>
      </c>
      <c r="CE479" s="13"/>
      <c r="CF479" s="13"/>
    </row>
    <row r="480" spans="1:84" ht="18.600000000000001" customHeight="1" x14ac:dyDescent="0.25">
      <c r="A480" s="60" t="s">
        <v>172</v>
      </c>
      <c r="B480" s="2" t="s">
        <v>335</v>
      </c>
      <c r="C480" s="3" t="s">
        <v>4880</v>
      </c>
      <c r="D480" s="12" t="s">
        <v>1741</v>
      </c>
      <c r="E480" s="12" t="s">
        <v>4787</v>
      </c>
      <c r="F480" s="12" t="s">
        <v>4470</v>
      </c>
      <c r="G480" s="25">
        <v>64016</v>
      </c>
      <c r="H480" s="25">
        <v>39292</v>
      </c>
      <c r="I480" s="25">
        <v>2849</v>
      </c>
      <c r="J480" s="25">
        <v>17238</v>
      </c>
      <c r="K480" s="25">
        <v>214568</v>
      </c>
      <c r="L480" s="25">
        <v>195015</v>
      </c>
      <c r="M480" s="25">
        <v>409583</v>
      </c>
      <c r="N480" s="31">
        <v>0.52</v>
      </c>
      <c r="O480" s="25">
        <v>15311</v>
      </c>
      <c r="P480" s="25">
        <v>0</v>
      </c>
      <c r="Q480" s="25">
        <v>2725</v>
      </c>
      <c r="R480" s="25">
        <v>295</v>
      </c>
      <c r="S480" s="25">
        <v>226</v>
      </c>
      <c r="T480" s="25">
        <v>1175</v>
      </c>
      <c r="U480" s="61">
        <v>214</v>
      </c>
      <c r="V480" s="58">
        <v>1.1999999999999999E-3</v>
      </c>
      <c r="W480" s="33">
        <v>1E-3</v>
      </c>
      <c r="X480" s="33">
        <v>6.9999999999999999E-4</v>
      </c>
      <c r="Y480" s="33">
        <v>6.9999999999999999E-4</v>
      </c>
      <c r="Z480" s="33">
        <v>2.3E-3</v>
      </c>
      <c r="AA480" s="33">
        <v>1E-3</v>
      </c>
      <c r="AB480" s="25">
        <v>627</v>
      </c>
      <c r="AC480" s="25">
        <v>457</v>
      </c>
      <c r="AD480" s="25">
        <v>26</v>
      </c>
      <c r="AE480" s="25">
        <v>8</v>
      </c>
      <c r="AF480" s="25">
        <v>100</v>
      </c>
      <c r="AG480" s="25">
        <v>8</v>
      </c>
      <c r="AH480" s="25">
        <v>28</v>
      </c>
      <c r="AI480" s="12">
        <v>1.43</v>
      </c>
      <c r="AJ480" s="25">
        <v>103012</v>
      </c>
      <c r="AK480" s="25">
        <v>36990</v>
      </c>
      <c r="AL480" s="33">
        <v>0.56030000000000002</v>
      </c>
      <c r="AM480" s="3" t="s">
        <v>4880</v>
      </c>
      <c r="AN480" s="12" t="s">
        <v>4787</v>
      </c>
      <c r="AO480" s="12" t="s">
        <v>4787</v>
      </c>
      <c r="AP480" s="12" t="str">
        <f>"421166261302591"</f>
        <v>421166261302591</v>
      </c>
      <c r="AQ480" s="12" t="s">
        <v>1741</v>
      </c>
      <c r="AR480" s="12" t="s">
        <v>1742</v>
      </c>
      <c r="AS480" s="12" t="s">
        <v>2740</v>
      </c>
      <c r="AT480" s="12"/>
      <c r="AU480" s="12" t="s">
        <v>5257</v>
      </c>
      <c r="AV480" s="12" t="s">
        <v>5764</v>
      </c>
      <c r="AW480" s="12">
        <v>1714</v>
      </c>
      <c r="AX480" s="12">
        <v>1083</v>
      </c>
      <c r="AY480" s="12">
        <v>1043</v>
      </c>
      <c r="AZ480" s="12">
        <v>0</v>
      </c>
      <c r="BA480" s="12" t="s">
        <v>4824</v>
      </c>
      <c r="BB480" s="12" t="s">
        <v>6539</v>
      </c>
      <c r="BC480" s="12" t="s">
        <v>6540</v>
      </c>
      <c r="BD480" s="12"/>
      <c r="BE480" s="12" t="s">
        <v>2291</v>
      </c>
      <c r="BF480" s="12"/>
      <c r="BG480" s="12"/>
      <c r="BH480" s="12"/>
      <c r="BI480" s="12" t="s">
        <v>2741</v>
      </c>
      <c r="BJ480" s="12" t="s">
        <v>2742</v>
      </c>
      <c r="BK480" s="12"/>
      <c r="BL480" s="12" t="s">
        <v>2292</v>
      </c>
      <c r="BM480" s="12" t="s">
        <v>2292</v>
      </c>
      <c r="BN480" s="12" t="s">
        <v>2292</v>
      </c>
      <c r="BO480" s="12" t="s">
        <v>2291</v>
      </c>
      <c r="BP480" s="12" t="s">
        <v>2743</v>
      </c>
      <c r="BQ480" s="12"/>
      <c r="BR480" s="12"/>
      <c r="BS480" s="12"/>
      <c r="BT480" s="12" t="s">
        <v>3632</v>
      </c>
      <c r="BU480" s="12" t="s">
        <v>326</v>
      </c>
      <c r="BV480" s="12"/>
      <c r="BW480" s="12" t="s">
        <v>4825</v>
      </c>
      <c r="BX480" s="12"/>
      <c r="BY480" s="13" t="s">
        <v>313</v>
      </c>
      <c r="BZ480" s="13" t="s">
        <v>6172</v>
      </c>
      <c r="CA480" s="13" t="s">
        <v>6170</v>
      </c>
      <c r="CB480" s="13" t="s">
        <v>6197</v>
      </c>
      <c r="CC480" s="13"/>
      <c r="CD480" s="13" t="s">
        <v>6198</v>
      </c>
      <c r="CE480" s="13" t="s">
        <v>6175</v>
      </c>
      <c r="CF480" s="13"/>
    </row>
    <row r="481" spans="1:84" ht="18.600000000000001" customHeight="1" x14ac:dyDescent="0.25">
      <c r="A481" s="60" t="s">
        <v>173</v>
      </c>
      <c r="B481" s="2" t="s">
        <v>802</v>
      </c>
      <c r="C481" s="3" t="s">
        <v>2658</v>
      </c>
      <c r="D481" s="12" t="s">
        <v>174</v>
      </c>
      <c r="E481" s="12" t="s">
        <v>174</v>
      </c>
      <c r="F481" s="12" t="s">
        <v>4145</v>
      </c>
      <c r="G481" s="25">
        <v>1883722</v>
      </c>
      <c r="H481" s="25">
        <v>1662223</v>
      </c>
      <c r="I481" s="25">
        <v>49076</v>
      </c>
      <c r="J481" s="25">
        <v>41729</v>
      </c>
      <c r="K481" s="25">
        <v>913404</v>
      </c>
      <c r="L481" s="25">
        <v>190422</v>
      </c>
      <c r="M481" s="25">
        <v>1103826</v>
      </c>
      <c r="N481" s="31">
        <v>0.83</v>
      </c>
      <c r="O481" s="25">
        <v>26081</v>
      </c>
      <c r="P481" s="25">
        <v>10967</v>
      </c>
      <c r="Q481" s="25">
        <v>110176</v>
      </c>
      <c r="R481" s="25">
        <v>5429</v>
      </c>
      <c r="S481" s="25">
        <v>909</v>
      </c>
      <c r="T481" s="25">
        <v>13622</v>
      </c>
      <c r="U481" s="61">
        <v>278</v>
      </c>
      <c r="V481" s="58">
        <v>1.14E-2</v>
      </c>
      <c r="W481" s="33">
        <v>2.7400000000000001E-2</v>
      </c>
      <c r="X481" s="33">
        <v>7.3000000000000001E-3</v>
      </c>
      <c r="Y481" s="12" t="s">
        <v>3926</v>
      </c>
      <c r="Z481" s="33">
        <v>1.34E-2</v>
      </c>
      <c r="AA481" s="33">
        <v>1.0500000000000001E-2</v>
      </c>
      <c r="AB481" s="25">
        <v>344</v>
      </c>
      <c r="AC481" s="25">
        <v>68</v>
      </c>
      <c r="AD481" s="25">
        <v>262</v>
      </c>
      <c r="AE481" s="25">
        <v>0</v>
      </c>
      <c r="AF481" s="25">
        <v>8</v>
      </c>
      <c r="AG481" s="25">
        <v>1</v>
      </c>
      <c r="AH481" s="25">
        <v>5</v>
      </c>
      <c r="AI481" s="12">
        <v>0.78</v>
      </c>
      <c r="AJ481" s="25">
        <v>487810</v>
      </c>
      <c r="AK481" s="25">
        <v>21470</v>
      </c>
      <c r="AL481" s="33">
        <v>4.5999999999999999E-2</v>
      </c>
      <c r="AM481" s="3" t="s">
        <v>2658</v>
      </c>
      <c r="AN481" s="12" t="s">
        <v>174</v>
      </c>
      <c r="AO481" s="12" t="s">
        <v>174</v>
      </c>
      <c r="AP481" s="12" t="str">
        <f>"133515803374007"</f>
        <v>133515803374007</v>
      </c>
      <c r="AQ481" s="12" t="s">
        <v>174</v>
      </c>
      <c r="AR481" s="12" t="s">
        <v>1743</v>
      </c>
      <c r="AS481" s="12" t="s">
        <v>1744</v>
      </c>
      <c r="AT481" s="12"/>
      <c r="AU481" s="12" t="s">
        <v>319</v>
      </c>
      <c r="AV481" s="12"/>
      <c r="AW481" s="12"/>
      <c r="AX481" s="12">
        <v>0</v>
      </c>
      <c r="AY481" s="12">
        <v>86699</v>
      </c>
      <c r="AZ481" s="12">
        <v>0</v>
      </c>
      <c r="BA481" s="12" t="s">
        <v>1745</v>
      </c>
      <c r="BB481" s="12" t="s">
        <v>6754</v>
      </c>
      <c r="BC481" s="12" t="s">
        <v>6755</v>
      </c>
      <c r="BD481" s="12"/>
      <c r="BE481" s="12" t="s">
        <v>2291</v>
      </c>
      <c r="BF481" s="12"/>
      <c r="BG481" s="12"/>
      <c r="BH481" s="12"/>
      <c r="BI481" s="12"/>
      <c r="BJ481" s="12"/>
      <c r="BK481" s="12"/>
      <c r="BL481" s="12" t="s">
        <v>2292</v>
      </c>
      <c r="BM481" s="12" t="s">
        <v>2292</v>
      </c>
      <c r="BN481" s="12" t="s">
        <v>2292</v>
      </c>
      <c r="BO481" s="12" t="s">
        <v>2291</v>
      </c>
      <c r="BP481" s="12"/>
      <c r="BQ481" s="12"/>
      <c r="BR481" s="12" t="s">
        <v>4801</v>
      </c>
      <c r="BS481" s="12"/>
      <c r="BT481" s="12" t="s">
        <v>1746</v>
      </c>
      <c r="BU481" s="12"/>
      <c r="BV481" s="12"/>
      <c r="BW481" s="12" t="s">
        <v>1747</v>
      </c>
      <c r="BX481" s="12"/>
      <c r="BY481" s="13" t="s">
        <v>313</v>
      </c>
      <c r="BZ481" s="13" t="s">
        <v>6168</v>
      </c>
      <c r="CA481" s="13"/>
      <c r="CB481" s="13"/>
      <c r="CC481" s="13"/>
      <c r="CD481" s="13"/>
      <c r="CE481" s="13"/>
      <c r="CF481" s="13"/>
    </row>
    <row r="482" spans="1:84" ht="18.600000000000001" customHeight="1" x14ac:dyDescent="0.25">
      <c r="A482" s="60" t="s">
        <v>173</v>
      </c>
      <c r="B482" s="2" t="s">
        <v>1753</v>
      </c>
      <c r="C482" s="3" t="s">
        <v>3005</v>
      </c>
      <c r="D482" s="12" t="s">
        <v>1749</v>
      </c>
      <c r="E482" s="12" t="s">
        <v>1748</v>
      </c>
      <c r="F482" s="12" t="s">
        <v>4372</v>
      </c>
      <c r="G482" s="25">
        <v>667905</v>
      </c>
      <c r="H482" s="25">
        <v>521416</v>
      </c>
      <c r="I482" s="25">
        <v>48233</v>
      </c>
      <c r="J482" s="25">
        <v>46524</v>
      </c>
      <c r="K482" s="25">
        <v>271253</v>
      </c>
      <c r="L482" s="25">
        <v>395784</v>
      </c>
      <c r="M482" s="25">
        <v>667037</v>
      </c>
      <c r="N482" s="31">
        <v>0.41</v>
      </c>
      <c r="O482" s="25">
        <v>76111</v>
      </c>
      <c r="P482" s="25">
        <v>0</v>
      </c>
      <c r="Q482" s="25">
        <v>30224</v>
      </c>
      <c r="R482" s="25">
        <v>1787</v>
      </c>
      <c r="S482" s="25">
        <v>4590</v>
      </c>
      <c r="T482" s="25">
        <v>12371</v>
      </c>
      <c r="U482" s="61">
        <v>2714</v>
      </c>
      <c r="V482" s="58">
        <v>2.2800000000000001E-2</v>
      </c>
      <c r="W482" s="33">
        <v>2.5100000000000001E-2</v>
      </c>
      <c r="X482" s="33">
        <v>1.26E-2</v>
      </c>
      <c r="Y482" s="33">
        <v>2.2599999999999999E-2</v>
      </c>
      <c r="Z482" s="33">
        <v>1.7299999999999999E-2</v>
      </c>
      <c r="AA482" s="33">
        <v>1.2800000000000001E-2</v>
      </c>
      <c r="AB482" s="25">
        <v>234</v>
      </c>
      <c r="AC482" s="25">
        <v>191</v>
      </c>
      <c r="AD482" s="25">
        <v>14</v>
      </c>
      <c r="AE482" s="25">
        <v>9</v>
      </c>
      <c r="AF482" s="25">
        <v>10</v>
      </c>
      <c r="AG482" s="25">
        <v>5</v>
      </c>
      <c r="AH482" s="25">
        <v>5</v>
      </c>
      <c r="AI482" s="12">
        <v>0.53</v>
      </c>
      <c r="AJ482" s="25">
        <v>130602</v>
      </c>
      <c r="AK482" s="25">
        <v>17090</v>
      </c>
      <c r="AL482" s="33">
        <v>0.15060000000000001</v>
      </c>
      <c r="AM482" s="3" t="s">
        <v>3005</v>
      </c>
      <c r="AN482" s="12" t="s">
        <v>1748</v>
      </c>
      <c r="AO482" s="12" t="s">
        <v>1748</v>
      </c>
      <c r="AP482" s="12" t="str">
        <f>"329885883718979"</f>
        <v>329885883718979</v>
      </c>
      <c r="AQ482" s="12" t="s">
        <v>1749</v>
      </c>
      <c r="AR482" s="12" t="s">
        <v>1750</v>
      </c>
      <c r="AS482" s="12" t="s">
        <v>3006</v>
      </c>
      <c r="AT482" s="12" t="s">
        <v>3007</v>
      </c>
      <c r="AU482" s="12" t="s">
        <v>309</v>
      </c>
      <c r="AV482" s="12"/>
      <c r="AW482" s="12"/>
      <c r="AX482" s="12">
        <v>21</v>
      </c>
      <c r="AY482" s="12">
        <v>4744</v>
      </c>
      <c r="AZ482" s="12">
        <v>0</v>
      </c>
      <c r="BA482" s="12" t="s">
        <v>1751</v>
      </c>
      <c r="BB482" s="12" t="s">
        <v>7269</v>
      </c>
      <c r="BC482" s="12" t="s">
        <v>7270</v>
      </c>
      <c r="BD482" s="12"/>
      <c r="BE482" s="12" t="s">
        <v>2291</v>
      </c>
      <c r="BF482" s="12"/>
      <c r="BG482" s="12"/>
      <c r="BH482" s="12"/>
      <c r="BI482" s="12"/>
      <c r="BJ482" s="12"/>
      <c r="BK482" s="12"/>
      <c r="BL482" s="12" t="s">
        <v>2292</v>
      </c>
      <c r="BM482" s="12" t="s">
        <v>2292</v>
      </c>
      <c r="BN482" s="12" t="s">
        <v>2292</v>
      </c>
      <c r="BO482" s="12" t="s">
        <v>2291</v>
      </c>
      <c r="BP482" s="12"/>
      <c r="BQ482" s="12"/>
      <c r="BR482" s="12"/>
      <c r="BS482" s="12"/>
      <c r="BT482" s="12"/>
      <c r="BU482" s="12"/>
      <c r="BV482" s="12"/>
      <c r="BW482" s="12" t="s">
        <v>1752</v>
      </c>
      <c r="BX482" s="12"/>
      <c r="BY482" s="13" t="s">
        <v>313</v>
      </c>
      <c r="BZ482" s="13" t="s">
        <v>312</v>
      </c>
      <c r="CA482" s="13"/>
      <c r="CB482" s="13"/>
      <c r="CC482" s="13"/>
      <c r="CD482" s="13"/>
      <c r="CE482" s="13"/>
      <c r="CF482" s="13"/>
    </row>
    <row r="483" spans="1:84" ht="18.600000000000001" customHeight="1" x14ac:dyDescent="0.25">
      <c r="A483" s="60" t="s">
        <v>173</v>
      </c>
      <c r="B483" s="2" t="s">
        <v>1759</v>
      </c>
      <c r="C483" s="3" t="s">
        <v>2675</v>
      </c>
      <c r="D483" s="12" t="s">
        <v>1754</v>
      </c>
      <c r="E483" s="12" t="s">
        <v>1755</v>
      </c>
      <c r="F483" s="12" t="s">
        <v>4164</v>
      </c>
      <c r="G483" s="25">
        <v>123408</v>
      </c>
      <c r="H483" s="25">
        <v>91766</v>
      </c>
      <c r="I483" s="25">
        <v>8962</v>
      </c>
      <c r="J483" s="25">
        <v>5765</v>
      </c>
      <c r="K483" s="25">
        <v>191269</v>
      </c>
      <c r="L483" s="25">
        <v>85215</v>
      </c>
      <c r="M483" s="25">
        <v>276484</v>
      </c>
      <c r="N483" s="31">
        <v>0.69</v>
      </c>
      <c r="O483" s="25">
        <v>89392</v>
      </c>
      <c r="P483" s="25">
        <v>10990</v>
      </c>
      <c r="Q483" s="25">
        <v>8456</v>
      </c>
      <c r="R483" s="25">
        <v>181</v>
      </c>
      <c r="S483" s="25">
        <v>258</v>
      </c>
      <c r="T483" s="25">
        <v>7129</v>
      </c>
      <c r="U483" s="61">
        <v>881</v>
      </c>
      <c r="V483" s="58">
        <v>1.7100000000000001E-2</v>
      </c>
      <c r="W483" s="33">
        <v>0.03</v>
      </c>
      <c r="X483" s="33">
        <v>1.11E-2</v>
      </c>
      <c r="Y483" s="33">
        <v>1.6199999999999999E-2</v>
      </c>
      <c r="Z483" s="33">
        <v>1.83E-2</v>
      </c>
      <c r="AA483" s="33">
        <v>1.6999999999999999E-3</v>
      </c>
      <c r="AB483" s="25">
        <v>186</v>
      </c>
      <c r="AC483" s="25">
        <v>33</v>
      </c>
      <c r="AD483" s="25">
        <v>46</v>
      </c>
      <c r="AE483" s="25">
        <v>65</v>
      </c>
      <c r="AF483" s="25">
        <v>27</v>
      </c>
      <c r="AG483" s="25">
        <v>14</v>
      </c>
      <c r="AH483" s="25">
        <v>1</v>
      </c>
      <c r="AI483" s="12">
        <v>0.42</v>
      </c>
      <c r="AJ483" s="25">
        <v>40479</v>
      </c>
      <c r="AK483" s="25">
        <v>4431</v>
      </c>
      <c r="AL483" s="33">
        <v>0.1229</v>
      </c>
      <c r="AM483" s="3" t="s">
        <v>2675</v>
      </c>
      <c r="AN483" s="12" t="s">
        <v>1755</v>
      </c>
      <c r="AO483" s="12" t="s">
        <v>1755</v>
      </c>
      <c r="AP483" s="12" t="str">
        <f>"703315986384134"</f>
        <v>703315986384134</v>
      </c>
      <c r="AQ483" s="12" t="s">
        <v>1754</v>
      </c>
      <c r="AR483" s="12" t="s">
        <v>1756</v>
      </c>
      <c r="AS483" s="12" t="s">
        <v>1757</v>
      </c>
      <c r="AT483" s="12"/>
      <c r="AU483" s="12" t="s">
        <v>309</v>
      </c>
      <c r="AV483" s="12"/>
      <c r="AW483" s="12"/>
      <c r="AX483" s="12">
        <v>0</v>
      </c>
      <c r="AY483" s="12">
        <v>2161</v>
      </c>
      <c r="AZ483" s="12">
        <v>0</v>
      </c>
      <c r="BA483" s="12" t="s">
        <v>1758</v>
      </c>
      <c r="BB483" s="12"/>
      <c r="BC483" s="12" t="s">
        <v>6797</v>
      </c>
      <c r="BD483" s="12"/>
      <c r="BE483" s="12" t="s">
        <v>2291</v>
      </c>
      <c r="BF483" s="12"/>
      <c r="BG483" s="12"/>
      <c r="BH483" s="12"/>
      <c r="BI483" s="12"/>
      <c r="BJ483" s="12"/>
      <c r="BK483" s="12"/>
      <c r="BL483" s="12" t="s">
        <v>2292</v>
      </c>
      <c r="BM483" s="12" t="s">
        <v>2292</v>
      </c>
      <c r="BN483" s="12" t="s">
        <v>2292</v>
      </c>
      <c r="BO483" s="12" t="s">
        <v>2291</v>
      </c>
      <c r="BP483" s="12"/>
      <c r="BQ483" s="12"/>
      <c r="BR483" s="12"/>
      <c r="BS483" s="12"/>
      <c r="BT483" s="12"/>
      <c r="BU483" s="12"/>
      <c r="BV483" s="12"/>
      <c r="BW483" s="12"/>
      <c r="BX483" s="12"/>
      <c r="BY483" s="13" t="s">
        <v>313</v>
      </c>
      <c r="BZ483" s="13" t="s">
        <v>312</v>
      </c>
      <c r="CA483" s="13"/>
      <c r="CB483" s="13"/>
      <c r="CC483" s="13"/>
      <c r="CD483" s="13"/>
      <c r="CE483" s="13"/>
      <c r="CF483" s="13"/>
    </row>
    <row r="484" spans="1:84" ht="18.600000000000001" customHeight="1" x14ac:dyDescent="0.25">
      <c r="A484" s="60" t="s">
        <v>173</v>
      </c>
      <c r="B484" s="2" t="s">
        <v>335</v>
      </c>
      <c r="C484" s="3" t="s">
        <v>3386</v>
      </c>
      <c r="D484" s="12" t="s">
        <v>5708</v>
      </c>
      <c r="E484" s="12" t="s">
        <v>175</v>
      </c>
      <c r="F484" s="12" t="s">
        <v>4377</v>
      </c>
      <c r="G484" s="25">
        <v>128210</v>
      </c>
      <c r="H484" s="25">
        <v>98709</v>
      </c>
      <c r="I484" s="25">
        <v>1550</v>
      </c>
      <c r="J484" s="25">
        <v>19994</v>
      </c>
      <c r="K484" s="25">
        <v>3848354</v>
      </c>
      <c r="L484" s="25">
        <v>668966</v>
      </c>
      <c r="M484" s="25">
        <v>4517320</v>
      </c>
      <c r="N484" s="31">
        <v>0.85</v>
      </c>
      <c r="O484" s="25">
        <v>16935</v>
      </c>
      <c r="P484" s="25">
        <v>26208</v>
      </c>
      <c r="Q484" s="25">
        <v>5301</v>
      </c>
      <c r="R484" s="25">
        <v>960</v>
      </c>
      <c r="S484" s="25">
        <v>427</v>
      </c>
      <c r="T484" s="25">
        <v>1177</v>
      </c>
      <c r="U484" s="61">
        <v>92</v>
      </c>
      <c r="V484" s="58">
        <v>6.0000000000000001E-3</v>
      </c>
      <c r="W484" s="33">
        <v>8.9999999999999998E-4</v>
      </c>
      <c r="X484" s="33">
        <v>1.2999999999999999E-3</v>
      </c>
      <c r="Y484" s="33">
        <v>2.0999999999999999E-3</v>
      </c>
      <c r="Z484" s="33">
        <v>1.8800000000000001E-2</v>
      </c>
      <c r="AA484" s="33">
        <v>2.0000000000000001E-4</v>
      </c>
      <c r="AB484" s="25">
        <v>262</v>
      </c>
      <c r="AC484" s="25">
        <v>58</v>
      </c>
      <c r="AD484" s="25">
        <v>106</v>
      </c>
      <c r="AE484" s="25">
        <v>1</v>
      </c>
      <c r="AF484" s="25">
        <v>72</v>
      </c>
      <c r="AG484" s="25">
        <v>23</v>
      </c>
      <c r="AH484" s="25">
        <v>2</v>
      </c>
      <c r="AI484" s="12">
        <v>0.6</v>
      </c>
      <c r="AJ484" s="25">
        <v>109398</v>
      </c>
      <c r="AK484" s="25">
        <v>45688</v>
      </c>
      <c r="AL484" s="33">
        <v>0.71709999999999996</v>
      </c>
      <c r="AM484" s="3" t="s">
        <v>3386</v>
      </c>
      <c r="AN484" s="12" t="s">
        <v>175</v>
      </c>
      <c r="AO484" s="12" t="s">
        <v>175</v>
      </c>
      <c r="AP484" s="12" t="str">
        <f>"253180081541814"</f>
        <v>253180081541814</v>
      </c>
      <c r="AQ484" s="12" t="s">
        <v>5708</v>
      </c>
      <c r="AR484" s="12" t="s">
        <v>1760</v>
      </c>
      <c r="AS484" s="12" t="s">
        <v>3362</v>
      </c>
      <c r="AT484" s="12"/>
      <c r="AU484" s="12" t="s">
        <v>324</v>
      </c>
      <c r="AV484" s="12" t="s">
        <v>7279</v>
      </c>
      <c r="AW484" s="12"/>
      <c r="AX484" s="12">
        <v>113</v>
      </c>
      <c r="AY484" s="12">
        <v>377</v>
      </c>
      <c r="AZ484" s="12">
        <v>113</v>
      </c>
      <c r="BA484" s="12" t="s">
        <v>3363</v>
      </c>
      <c r="BB484" s="12" t="s">
        <v>7280</v>
      </c>
      <c r="BC484" s="12" t="s">
        <v>7281</v>
      </c>
      <c r="BD484" s="12"/>
      <c r="BE484" s="12" t="s">
        <v>2291</v>
      </c>
      <c r="BF484" s="12"/>
      <c r="BG484" s="12"/>
      <c r="BH484" s="12"/>
      <c r="BI484" s="12"/>
      <c r="BJ484" s="12"/>
      <c r="BK484" s="12"/>
      <c r="BL484" s="12" t="s">
        <v>2292</v>
      </c>
      <c r="BM484" s="12" t="s">
        <v>2292</v>
      </c>
      <c r="BN484" s="12" t="s">
        <v>2292</v>
      </c>
      <c r="BO484" s="12" t="s">
        <v>2291</v>
      </c>
      <c r="BP484" s="12"/>
      <c r="BQ484" s="12"/>
      <c r="BR484" s="12"/>
      <c r="BS484" s="12"/>
      <c r="BT484" s="12" t="s">
        <v>3364</v>
      </c>
      <c r="BU484" s="12" t="s">
        <v>326</v>
      </c>
      <c r="BV484" s="12"/>
      <c r="BW484" s="12" t="s">
        <v>3365</v>
      </c>
      <c r="BX484" s="12"/>
      <c r="BY484" s="13" t="s">
        <v>313</v>
      </c>
      <c r="BZ484" s="13" t="s">
        <v>312</v>
      </c>
      <c r="CA484" s="13"/>
      <c r="CB484" s="13"/>
      <c r="CC484" s="13"/>
      <c r="CD484" s="13"/>
      <c r="CE484" s="13"/>
      <c r="CF484" s="13"/>
    </row>
    <row r="485" spans="1:84" ht="18.600000000000001" customHeight="1" x14ac:dyDescent="0.25">
      <c r="A485" s="60" t="s">
        <v>176</v>
      </c>
      <c r="B485" s="2" t="s">
        <v>5628</v>
      </c>
      <c r="C485" s="4" t="s">
        <v>5629</v>
      </c>
      <c r="D485" s="12" t="s">
        <v>5642</v>
      </c>
      <c r="E485" s="12" t="s">
        <v>5643</v>
      </c>
      <c r="F485" s="12" t="s">
        <v>5644</v>
      </c>
      <c r="G485" s="25">
        <v>7838</v>
      </c>
      <c r="H485" s="25">
        <v>5602</v>
      </c>
      <c r="I485" s="25">
        <v>648</v>
      </c>
      <c r="J485" s="25">
        <v>1077</v>
      </c>
      <c r="K485" s="25">
        <v>28540</v>
      </c>
      <c r="L485" s="25">
        <v>22067</v>
      </c>
      <c r="M485" s="25">
        <v>50607</v>
      </c>
      <c r="N485" s="31">
        <v>0.56000000000000005</v>
      </c>
      <c r="O485" s="25">
        <v>7169</v>
      </c>
      <c r="P485" s="25">
        <v>147</v>
      </c>
      <c r="Q485" s="25">
        <v>384</v>
      </c>
      <c r="R485" s="25">
        <v>32</v>
      </c>
      <c r="S485" s="25">
        <v>34</v>
      </c>
      <c r="T485" s="25">
        <v>11</v>
      </c>
      <c r="U485" s="61">
        <v>50</v>
      </c>
      <c r="V485" s="58">
        <v>5.1999999999999998E-3</v>
      </c>
      <c r="W485" s="33">
        <v>4.5999999999999999E-3</v>
      </c>
      <c r="X485" s="33">
        <v>3.3E-3</v>
      </c>
      <c r="Y485" s="12" t="s">
        <v>3926</v>
      </c>
      <c r="Z485" s="33">
        <v>1.1299999999999999E-2</v>
      </c>
      <c r="AA485" s="33">
        <v>2.7000000000000001E-3</v>
      </c>
      <c r="AB485" s="25">
        <v>152</v>
      </c>
      <c r="AC485" s="25">
        <v>59</v>
      </c>
      <c r="AD485" s="25">
        <v>41</v>
      </c>
      <c r="AE485" s="25">
        <v>0</v>
      </c>
      <c r="AF485" s="25">
        <v>27</v>
      </c>
      <c r="AG485" s="25">
        <v>12</v>
      </c>
      <c r="AH485" s="25">
        <v>13</v>
      </c>
      <c r="AI485" s="12">
        <v>0.35</v>
      </c>
      <c r="AJ485" s="25">
        <v>11532</v>
      </c>
      <c r="AK485" s="25">
        <v>2205</v>
      </c>
      <c r="AL485" s="33">
        <v>0.2364</v>
      </c>
      <c r="AM485" s="4" t="s">
        <v>5629</v>
      </c>
      <c r="AN485" s="12" t="s">
        <v>5643</v>
      </c>
      <c r="AO485" s="12" t="s">
        <v>5643</v>
      </c>
      <c r="AP485" s="12" t="str">
        <f>"407144292661516"</f>
        <v>407144292661516</v>
      </c>
      <c r="AQ485" s="12" t="s">
        <v>5642</v>
      </c>
      <c r="AR485" s="12" t="s">
        <v>5748</v>
      </c>
      <c r="AS485" s="12" t="s">
        <v>5749</v>
      </c>
      <c r="AT485" s="12"/>
      <c r="AU485" s="12" t="s">
        <v>309</v>
      </c>
      <c r="AV485" s="12"/>
      <c r="AW485" s="12"/>
      <c r="AX485" s="12">
        <v>0</v>
      </c>
      <c r="AY485" s="12">
        <v>95</v>
      </c>
      <c r="AZ485" s="12">
        <v>0</v>
      </c>
      <c r="BA485" s="12" t="s">
        <v>5750</v>
      </c>
      <c r="BB485" s="12"/>
      <c r="BC485" s="12" t="s">
        <v>6341</v>
      </c>
      <c r="BD485" s="12"/>
      <c r="BE485" s="12" t="s">
        <v>2291</v>
      </c>
      <c r="BF485" s="12"/>
      <c r="BG485" s="12"/>
      <c r="BH485" s="12"/>
      <c r="BI485" s="12"/>
      <c r="BJ485" s="12"/>
      <c r="BK485" s="12"/>
      <c r="BL485" s="12" t="s">
        <v>2292</v>
      </c>
      <c r="BM485" s="12" t="s">
        <v>2292</v>
      </c>
      <c r="BN485" s="12" t="s">
        <v>2292</v>
      </c>
      <c r="BO485" s="12" t="s">
        <v>2291</v>
      </c>
      <c r="BP485" s="12"/>
      <c r="BQ485" s="12"/>
      <c r="BR485" s="12"/>
      <c r="BS485" s="12"/>
      <c r="BT485" s="12"/>
      <c r="BU485" s="12"/>
      <c r="BV485" s="12"/>
      <c r="BW485" s="12"/>
      <c r="BX485" s="12"/>
      <c r="BY485" s="13" t="s">
        <v>313</v>
      </c>
      <c r="BZ485" s="13" t="s">
        <v>312</v>
      </c>
      <c r="CA485" s="13"/>
      <c r="CB485" s="13"/>
      <c r="CC485" s="13"/>
      <c r="CD485" s="13"/>
      <c r="CE485" s="13"/>
      <c r="CF485" s="13"/>
    </row>
    <row r="486" spans="1:84" ht="18.600000000000001" customHeight="1" x14ac:dyDescent="0.25">
      <c r="A486" s="60" t="s">
        <v>176</v>
      </c>
      <c r="B486" s="2" t="s">
        <v>5528</v>
      </c>
      <c r="C486" s="20" t="s">
        <v>5529</v>
      </c>
      <c r="D486" s="12" t="s">
        <v>5533</v>
      </c>
      <c r="E486" s="12" t="s">
        <v>5530</v>
      </c>
      <c r="F486" s="12" t="s">
        <v>5546</v>
      </c>
      <c r="G486" s="25">
        <v>3467</v>
      </c>
      <c r="H486" s="25">
        <v>3008</v>
      </c>
      <c r="I486" s="25">
        <v>141</v>
      </c>
      <c r="J486" s="25">
        <v>185</v>
      </c>
      <c r="K486" s="25">
        <v>4839</v>
      </c>
      <c r="L486" s="25">
        <v>5445</v>
      </c>
      <c r="M486" s="25">
        <v>10284</v>
      </c>
      <c r="N486" s="31">
        <v>0.47</v>
      </c>
      <c r="O486" s="25">
        <v>721</v>
      </c>
      <c r="P486" s="25">
        <v>4702</v>
      </c>
      <c r="Q486" s="25">
        <v>107</v>
      </c>
      <c r="R486" s="25">
        <v>12</v>
      </c>
      <c r="S486" s="25">
        <v>6</v>
      </c>
      <c r="T486" s="25">
        <v>1</v>
      </c>
      <c r="U486" s="61">
        <v>7</v>
      </c>
      <c r="V486" s="58">
        <v>3.0200000000000001E-2</v>
      </c>
      <c r="W486" s="33">
        <v>3.2199999999999999E-2</v>
      </c>
      <c r="X486" s="33">
        <v>2.63E-2</v>
      </c>
      <c r="Y486" s="33">
        <v>1.5E-3</v>
      </c>
      <c r="Z486" s="33">
        <v>5.2600000000000001E-2</v>
      </c>
      <c r="AA486" s="33">
        <v>2.5000000000000001E-3</v>
      </c>
      <c r="AB486" s="25">
        <v>47</v>
      </c>
      <c r="AC486" s="25">
        <v>20</v>
      </c>
      <c r="AD486" s="25">
        <v>20</v>
      </c>
      <c r="AE486" s="25">
        <v>1</v>
      </c>
      <c r="AF486" s="25">
        <v>3</v>
      </c>
      <c r="AG486" s="25">
        <v>2</v>
      </c>
      <c r="AH486" s="25">
        <v>1</v>
      </c>
      <c r="AI486" s="12">
        <v>0.11</v>
      </c>
      <c r="AJ486" s="25">
        <v>3184</v>
      </c>
      <c r="AK486" s="25">
        <v>1133</v>
      </c>
      <c r="AL486" s="33">
        <v>0.5524</v>
      </c>
      <c r="AM486" s="20" t="s">
        <v>5529</v>
      </c>
      <c r="AN486" s="12" t="s">
        <v>5582</v>
      </c>
      <c r="AO486" s="12" t="s">
        <v>5530</v>
      </c>
      <c r="AP486" s="12" t="str">
        <f>"486301424808499"</f>
        <v>486301424808499</v>
      </c>
      <c r="AQ486" s="12" t="s">
        <v>5533</v>
      </c>
      <c r="AR486" s="12" t="s">
        <v>5846</v>
      </c>
      <c r="AS486" s="12" t="s">
        <v>5847</v>
      </c>
      <c r="AT486" s="12"/>
      <c r="AU486" s="12" t="s">
        <v>309</v>
      </c>
      <c r="AV486" s="12"/>
      <c r="AW486" s="12"/>
      <c r="AX486" s="12">
        <v>0</v>
      </c>
      <c r="AY486" s="12">
        <v>284</v>
      </c>
      <c r="AZ486" s="12">
        <v>0</v>
      </c>
      <c r="BA486" s="12" t="s">
        <v>5848</v>
      </c>
      <c r="BB486" s="12"/>
      <c r="BC486" s="12" t="s">
        <v>6665</v>
      </c>
      <c r="BD486" s="12"/>
      <c r="BE486" s="12" t="s">
        <v>2291</v>
      </c>
      <c r="BF486" s="12"/>
      <c r="BG486" s="12"/>
      <c r="BH486" s="12"/>
      <c r="BI486" s="12"/>
      <c r="BJ486" s="12"/>
      <c r="BK486" s="12"/>
      <c r="BL486" s="12" t="s">
        <v>2292</v>
      </c>
      <c r="BM486" s="12" t="s">
        <v>2292</v>
      </c>
      <c r="BN486" s="12" t="s">
        <v>2292</v>
      </c>
      <c r="BO486" s="12" t="s">
        <v>2291</v>
      </c>
      <c r="BP486" s="12"/>
      <c r="BQ486" s="12"/>
      <c r="BR486" s="12"/>
      <c r="BS486" s="12"/>
      <c r="BT486" s="12"/>
      <c r="BU486" s="12"/>
      <c r="BV486" s="12"/>
      <c r="BW486" s="12"/>
      <c r="BX486" s="12"/>
      <c r="BY486" s="13" t="s">
        <v>313</v>
      </c>
      <c r="BZ486" s="13" t="s">
        <v>6173</v>
      </c>
      <c r="CA486" s="13"/>
      <c r="CB486" s="13"/>
      <c r="CC486" s="13"/>
      <c r="CD486" s="13"/>
      <c r="CE486" s="13"/>
      <c r="CF486" s="13"/>
    </row>
    <row r="487" spans="1:84" ht="18.600000000000001" customHeight="1" x14ac:dyDescent="0.25">
      <c r="A487" s="60" t="s">
        <v>177</v>
      </c>
      <c r="B487" s="2" t="s">
        <v>1765</v>
      </c>
      <c r="C487" s="3" t="s">
        <v>2945</v>
      </c>
      <c r="D487" s="12" t="s">
        <v>1761</v>
      </c>
      <c r="E487" s="12" t="s">
        <v>1762</v>
      </c>
      <c r="F487" s="12" t="s">
        <v>4337</v>
      </c>
      <c r="G487" s="25">
        <v>9238966</v>
      </c>
      <c r="H487" s="25">
        <v>7677916</v>
      </c>
      <c r="I487" s="25">
        <v>551604</v>
      </c>
      <c r="J487" s="25">
        <v>386358</v>
      </c>
      <c r="K487" s="25">
        <v>20645019</v>
      </c>
      <c r="L487" s="25">
        <v>6327089</v>
      </c>
      <c r="M487" s="25">
        <v>26972108</v>
      </c>
      <c r="N487" s="31">
        <v>0.77</v>
      </c>
      <c r="O487" s="25">
        <v>0</v>
      </c>
      <c r="P487" s="25">
        <v>6961433</v>
      </c>
      <c r="Q487" s="25">
        <v>576275</v>
      </c>
      <c r="R487" s="25">
        <v>15446</v>
      </c>
      <c r="S487" s="25">
        <v>9554</v>
      </c>
      <c r="T487" s="25">
        <v>14459</v>
      </c>
      <c r="U487" s="61">
        <v>7187</v>
      </c>
      <c r="V487" s="58">
        <v>3.8999999999999998E-3</v>
      </c>
      <c r="W487" s="33">
        <v>5.4000000000000003E-3</v>
      </c>
      <c r="X487" s="33">
        <v>1.1999999999999999E-3</v>
      </c>
      <c r="Y487" s="33">
        <v>2.3999999999999998E-3</v>
      </c>
      <c r="Z487" s="33">
        <v>2.8E-3</v>
      </c>
      <c r="AA487" s="33">
        <v>2.8999999999999998E-3</v>
      </c>
      <c r="AB487" s="25">
        <v>265</v>
      </c>
      <c r="AC487" s="25">
        <v>117</v>
      </c>
      <c r="AD487" s="25">
        <v>8</v>
      </c>
      <c r="AE487" s="25">
        <v>18</v>
      </c>
      <c r="AF487" s="25">
        <v>121</v>
      </c>
      <c r="AG487" s="25">
        <v>0</v>
      </c>
      <c r="AH487" s="25">
        <v>1</v>
      </c>
      <c r="AI487" s="12">
        <v>0.6</v>
      </c>
      <c r="AJ487" s="25">
        <v>8939495</v>
      </c>
      <c r="AK487" s="25">
        <v>14924</v>
      </c>
      <c r="AL487" s="33">
        <v>1.6999999999999999E-3</v>
      </c>
      <c r="AM487" s="3" t="s">
        <v>2945</v>
      </c>
      <c r="AN487" s="12" t="s">
        <v>1762</v>
      </c>
      <c r="AO487" s="12" t="s">
        <v>1762</v>
      </c>
      <c r="AP487" s="12" t="str">
        <f>"344704883576"</f>
        <v>344704883576</v>
      </c>
      <c r="AQ487" s="12" t="s">
        <v>1761</v>
      </c>
      <c r="AR487" s="12" t="s">
        <v>5441</v>
      </c>
      <c r="AS487" s="12" t="s">
        <v>5442</v>
      </c>
      <c r="AT487" s="12" t="s">
        <v>2946</v>
      </c>
      <c r="AU487" s="12" t="s">
        <v>309</v>
      </c>
      <c r="AV487" s="12"/>
      <c r="AW487" s="12"/>
      <c r="AX487" s="12">
        <v>0</v>
      </c>
      <c r="AY487" s="12">
        <v>177971</v>
      </c>
      <c r="AZ487" s="12">
        <v>0</v>
      </c>
      <c r="BA487" s="12" t="s">
        <v>1763</v>
      </c>
      <c r="BB487" s="12" t="s">
        <v>5997</v>
      </c>
      <c r="BC487" s="12" t="s">
        <v>7189</v>
      </c>
      <c r="BD487" s="12"/>
      <c r="BE487" s="12" t="s">
        <v>2291</v>
      </c>
      <c r="BF487" s="12"/>
      <c r="BG487" s="12"/>
      <c r="BH487" s="12"/>
      <c r="BI487" s="12"/>
      <c r="BJ487" s="12"/>
      <c r="BK487" s="12"/>
      <c r="BL487" s="12" t="s">
        <v>2292</v>
      </c>
      <c r="BM487" s="12" t="s">
        <v>2292</v>
      </c>
      <c r="BN487" s="12" t="s">
        <v>2292</v>
      </c>
      <c r="BO487" s="12" t="s">
        <v>2291</v>
      </c>
      <c r="BP487" s="12"/>
      <c r="BQ487" s="12"/>
      <c r="BR487" s="12"/>
      <c r="BS487" s="12"/>
      <c r="BT487" s="12"/>
      <c r="BU487" s="12"/>
      <c r="BV487" s="12"/>
      <c r="BW487" s="12" t="s">
        <v>1764</v>
      </c>
      <c r="BX487" s="12"/>
      <c r="BY487" s="13" t="s">
        <v>313</v>
      </c>
      <c r="BZ487" s="13" t="s">
        <v>312</v>
      </c>
      <c r="CA487" s="13"/>
      <c r="CB487" s="13"/>
      <c r="CC487" s="13"/>
      <c r="CD487" s="13"/>
      <c r="CE487" s="13"/>
      <c r="CF487" s="13"/>
    </row>
    <row r="488" spans="1:84" ht="18.600000000000001" customHeight="1" x14ac:dyDescent="0.25">
      <c r="A488" s="60" t="s">
        <v>177</v>
      </c>
      <c r="B488" s="2" t="s">
        <v>314</v>
      </c>
      <c r="C488" s="3" t="s">
        <v>3017</v>
      </c>
      <c r="D488" s="12" t="s">
        <v>1766</v>
      </c>
      <c r="E488" s="12" t="s">
        <v>178</v>
      </c>
      <c r="F488" s="12" t="s">
        <v>4381</v>
      </c>
      <c r="G488" s="25">
        <v>7844247</v>
      </c>
      <c r="H488" s="25">
        <v>6950562</v>
      </c>
      <c r="I488" s="25">
        <v>156083</v>
      </c>
      <c r="J488" s="25">
        <v>403559</v>
      </c>
      <c r="K488" s="25">
        <v>5259958</v>
      </c>
      <c r="L488" s="25">
        <v>2293932</v>
      </c>
      <c r="M488" s="25">
        <v>7553890</v>
      </c>
      <c r="N488" s="31">
        <v>0.7</v>
      </c>
      <c r="O488" s="25">
        <v>1606582</v>
      </c>
      <c r="P488" s="25">
        <v>374594</v>
      </c>
      <c r="Q488" s="25">
        <v>287008</v>
      </c>
      <c r="R488" s="25">
        <v>3895</v>
      </c>
      <c r="S488" s="25">
        <v>3388</v>
      </c>
      <c r="T488" s="25">
        <v>34074</v>
      </c>
      <c r="U488" s="61">
        <v>4582</v>
      </c>
      <c r="V488" s="58">
        <v>4.3E-3</v>
      </c>
      <c r="W488" s="33">
        <v>4.4000000000000003E-3</v>
      </c>
      <c r="X488" s="12" t="s">
        <v>3926</v>
      </c>
      <c r="Y488" s="33">
        <v>1.8E-3</v>
      </c>
      <c r="Z488" s="33">
        <v>4.7000000000000002E-3</v>
      </c>
      <c r="AA488" s="33">
        <v>2.8999999999999998E-3</v>
      </c>
      <c r="AB488" s="25">
        <v>1037</v>
      </c>
      <c r="AC488" s="25">
        <v>890</v>
      </c>
      <c r="AD488" s="25">
        <v>0</v>
      </c>
      <c r="AE488" s="25">
        <v>4</v>
      </c>
      <c r="AF488" s="25">
        <v>80</v>
      </c>
      <c r="AG488" s="25">
        <v>62</v>
      </c>
      <c r="AH488" s="25">
        <v>1</v>
      </c>
      <c r="AI488" s="12">
        <v>2.36</v>
      </c>
      <c r="AJ488" s="25">
        <v>1792527</v>
      </c>
      <c r="AK488" s="25">
        <v>50070</v>
      </c>
      <c r="AL488" s="33">
        <v>2.87E-2</v>
      </c>
      <c r="AM488" s="3" t="s">
        <v>3017</v>
      </c>
      <c r="AN488" s="12" t="s">
        <v>178</v>
      </c>
      <c r="AO488" s="12" t="s">
        <v>178</v>
      </c>
      <c r="AP488" s="12" t="str">
        <f>"732050426820487"</f>
        <v>732050426820487</v>
      </c>
      <c r="AQ488" s="12" t="s">
        <v>1766</v>
      </c>
      <c r="AR488" s="12" t="s">
        <v>1767</v>
      </c>
      <c r="AS488" s="12" t="s">
        <v>1768</v>
      </c>
      <c r="AT488" s="12"/>
      <c r="AU488" s="12" t="s">
        <v>324</v>
      </c>
      <c r="AV488" s="12" t="s">
        <v>5911</v>
      </c>
      <c r="AW488" s="12"/>
      <c r="AX488" s="12">
        <v>37662</v>
      </c>
      <c r="AY488" s="12">
        <v>42067</v>
      </c>
      <c r="AZ488" s="12">
        <v>37662</v>
      </c>
      <c r="BA488" s="12" t="s">
        <v>1769</v>
      </c>
      <c r="BB488" s="12" t="s">
        <v>7286</v>
      </c>
      <c r="BC488" s="12" t="s">
        <v>7287</v>
      </c>
      <c r="BD488" s="12"/>
      <c r="BE488" s="12" t="s">
        <v>2291</v>
      </c>
      <c r="BF488" s="12"/>
      <c r="BG488" s="12"/>
      <c r="BH488" s="12"/>
      <c r="BI488" s="12" t="s">
        <v>1768</v>
      </c>
      <c r="BJ488" s="12"/>
      <c r="BK488" s="12"/>
      <c r="BL488" s="12" t="s">
        <v>2292</v>
      </c>
      <c r="BM488" s="12" t="s">
        <v>2292</v>
      </c>
      <c r="BN488" s="12" t="s">
        <v>2292</v>
      </c>
      <c r="BO488" s="12" t="s">
        <v>2291</v>
      </c>
      <c r="BP488" s="12"/>
      <c r="BQ488" s="12"/>
      <c r="BR488" s="12"/>
      <c r="BS488" s="12"/>
      <c r="BT488" s="12" t="s">
        <v>4711</v>
      </c>
      <c r="BU488" s="12" t="s">
        <v>326</v>
      </c>
      <c r="BV488" s="12"/>
      <c r="BW488" s="12" t="s">
        <v>4763</v>
      </c>
      <c r="BX488" s="12"/>
      <c r="BY488" s="13" t="s">
        <v>313</v>
      </c>
      <c r="BZ488" s="13" t="s">
        <v>312</v>
      </c>
      <c r="CA488" s="13"/>
      <c r="CB488" s="13"/>
      <c r="CC488" s="13"/>
      <c r="CD488" s="13"/>
      <c r="CE488" s="13"/>
      <c r="CF488" s="13"/>
    </row>
    <row r="489" spans="1:84" ht="18.600000000000001" customHeight="1" x14ac:dyDescent="0.25">
      <c r="A489" s="60" t="s">
        <v>177</v>
      </c>
      <c r="B489" s="2" t="s">
        <v>314</v>
      </c>
      <c r="C489" s="3" t="s">
        <v>3387</v>
      </c>
      <c r="D489" s="12" t="s">
        <v>1793</v>
      </c>
      <c r="E489" s="12" t="s">
        <v>179</v>
      </c>
      <c r="F489" s="12" t="s">
        <v>4387</v>
      </c>
      <c r="G489" s="25">
        <v>135556</v>
      </c>
      <c r="H489" s="25">
        <v>107291</v>
      </c>
      <c r="I489" s="25">
        <v>3954</v>
      </c>
      <c r="J489" s="25">
        <v>12578</v>
      </c>
      <c r="K489" s="25">
        <v>114168</v>
      </c>
      <c r="L489" s="25">
        <v>62808</v>
      </c>
      <c r="M489" s="25">
        <v>176976</v>
      </c>
      <c r="N489" s="31">
        <v>0.65</v>
      </c>
      <c r="O489" s="25">
        <v>3859</v>
      </c>
      <c r="P489" s="25">
        <v>0</v>
      </c>
      <c r="Q489" s="25">
        <v>10683</v>
      </c>
      <c r="R489" s="25">
        <v>270</v>
      </c>
      <c r="S489" s="25">
        <v>222</v>
      </c>
      <c r="T489" s="25">
        <v>385</v>
      </c>
      <c r="U489" s="61">
        <v>149</v>
      </c>
      <c r="V489" s="58">
        <v>2E-3</v>
      </c>
      <c r="W489" s="33">
        <v>1.9E-3</v>
      </c>
      <c r="X489" s="33">
        <v>5.9999999999999995E-4</v>
      </c>
      <c r="Y489" s="33">
        <v>1.9E-3</v>
      </c>
      <c r="Z489" s="33">
        <v>4.1999999999999997E-3</v>
      </c>
      <c r="AA489" s="12" t="s">
        <v>3926</v>
      </c>
      <c r="AB489" s="25">
        <v>1142</v>
      </c>
      <c r="AC489" s="25">
        <v>1090</v>
      </c>
      <c r="AD489" s="25">
        <v>6</v>
      </c>
      <c r="AE489" s="25">
        <v>3</v>
      </c>
      <c r="AF489" s="25">
        <v>40</v>
      </c>
      <c r="AG489" s="25">
        <v>3</v>
      </c>
      <c r="AH489" s="25">
        <v>0</v>
      </c>
      <c r="AI489" s="12">
        <v>2.6</v>
      </c>
      <c r="AJ489" s="25">
        <v>64983</v>
      </c>
      <c r="AK489" s="25">
        <v>8545</v>
      </c>
      <c r="AL489" s="33">
        <v>0.15140000000000001</v>
      </c>
      <c r="AM489" s="3" t="s">
        <v>3387</v>
      </c>
      <c r="AN489" s="12" t="s">
        <v>179</v>
      </c>
      <c r="AO489" s="12" t="s">
        <v>179</v>
      </c>
      <c r="AP489" s="12" t="str">
        <f>"655425904574963"</f>
        <v>655425904574963</v>
      </c>
      <c r="AQ489" s="12" t="s">
        <v>1793</v>
      </c>
      <c r="AR489" s="12" t="s">
        <v>5609</v>
      </c>
      <c r="AS489" s="12" t="s">
        <v>5610</v>
      </c>
      <c r="AT489" s="12"/>
      <c r="AU489" s="12" t="s">
        <v>324</v>
      </c>
      <c r="AV489" s="12"/>
      <c r="AW489" s="12"/>
      <c r="AX489" s="12">
        <v>0</v>
      </c>
      <c r="AY489" s="12">
        <v>953</v>
      </c>
      <c r="AZ489" s="12">
        <v>0</v>
      </c>
      <c r="BA489" s="12" t="s">
        <v>3366</v>
      </c>
      <c r="BB489" s="12" t="s">
        <v>6038</v>
      </c>
      <c r="BC489" s="12" t="s">
        <v>7303</v>
      </c>
      <c r="BD489" s="12"/>
      <c r="BE489" s="12" t="s">
        <v>2291</v>
      </c>
      <c r="BF489" s="12"/>
      <c r="BG489" s="12"/>
      <c r="BH489" s="12"/>
      <c r="BI489" s="12"/>
      <c r="BJ489" s="12"/>
      <c r="BK489" s="12"/>
      <c r="BL489" s="12" t="s">
        <v>2292</v>
      </c>
      <c r="BM489" s="12" t="s">
        <v>2292</v>
      </c>
      <c r="BN489" s="12" t="s">
        <v>2292</v>
      </c>
      <c r="BO489" s="12" t="s">
        <v>2291</v>
      </c>
      <c r="BP489" s="12"/>
      <c r="BQ489" s="12"/>
      <c r="BR489" s="12"/>
      <c r="BS489" s="12"/>
      <c r="BT489" s="12" t="s">
        <v>5611</v>
      </c>
      <c r="BU489" s="12"/>
      <c r="BV489" s="12"/>
      <c r="BW489" s="12" t="s">
        <v>5612</v>
      </c>
      <c r="BX489" s="12"/>
      <c r="BY489" s="13" t="s">
        <v>313</v>
      </c>
      <c r="BZ489" s="13" t="s">
        <v>312</v>
      </c>
      <c r="CA489" s="13"/>
      <c r="CB489" s="13"/>
      <c r="CC489" s="13"/>
      <c r="CD489" s="13"/>
      <c r="CE489" s="13"/>
      <c r="CF489" s="13"/>
    </row>
    <row r="490" spans="1:84" ht="18.600000000000001" customHeight="1" x14ac:dyDescent="0.25">
      <c r="A490" s="60" t="s">
        <v>177</v>
      </c>
      <c r="B490" s="2" t="s">
        <v>3337</v>
      </c>
      <c r="C490" s="20" t="s">
        <v>3869</v>
      </c>
      <c r="D490" s="12" t="s">
        <v>3346</v>
      </c>
      <c r="E490" s="12" t="s">
        <v>4379</v>
      </c>
      <c r="F490" s="12" t="s">
        <v>4380</v>
      </c>
      <c r="G490" s="25">
        <v>1877170</v>
      </c>
      <c r="H490" s="25">
        <v>1654707</v>
      </c>
      <c r="I490" s="25">
        <v>84506</v>
      </c>
      <c r="J490" s="25">
        <v>79766</v>
      </c>
      <c r="K490" s="25">
        <v>3229125</v>
      </c>
      <c r="L490" s="25">
        <v>746074</v>
      </c>
      <c r="M490" s="25">
        <v>3975199</v>
      </c>
      <c r="N490" s="31">
        <v>0.81</v>
      </c>
      <c r="O490" s="25">
        <v>0</v>
      </c>
      <c r="P490" s="25">
        <v>28322</v>
      </c>
      <c r="Q490" s="25">
        <v>44009</v>
      </c>
      <c r="R490" s="25">
        <v>730</v>
      </c>
      <c r="S490" s="25">
        <v>609</v>
      </c>
      <c r="T490" s="25">
        <v>12134</v>
      </c>
      <c r="U490" s="61">
        <v>559</v>
      </c>
      <c r="V490" s="58">
        <v>3.5999999999999999E-3</v>
      </c>
      <c r="W490" s="33">
        <v>4.3E-3</v>
      </c>
      <c r="X490" s="33">
        <v>1.8E-3</v>
      </c>
      <c r="Y490" s="33">
        <v>5.1000000000000004E-3</v>
      </c>
      <c r="Z490" s="33">
        <v>3.0000000000000001E-3</v>
      </c>
      <c r="AA490" s="33">
        <v>1.4E-3</v>
      </c>
      <c r="AB490" s="25">
        <v>1361</v>
      </c>
      <c r="AC490" s="25">
        <v>849</v>
      </c>
      <c r="AD490" s="25">
        <v>29</v>
      </c>
      <c r="AE490" s="25">
        <v>19</v>
      </c>
      <c r="AF490" s="25">
        <v>330</v>
      </c>
      <c r="AG490" s="25">
        <v>0</v>
      </c>
      <c r="AH490" s="25">
        <v>134</v>
      </c>
      <c r="AI490" s="12">
        <v>3.1</v>
      </c>
      <c r="AJ490" s="25">
        <v>427329</v>
      </c>
      <c r="AK490" s="25">
        <v>105898</v>
      </c>
      <c r="AL490" s="33">
        <v>0.32950000000000002</v>
      </c>
      <c r="AM490" s="20" t="s">
        <v>3869</v>
      </c>
      <c r="AN490" s="12" t="s">
        <v>4379</v>
      </c>
      <c r="AO490" s="12" t="s">
        <v>4379</v>
      </c>
      <c r="AP490" s="12" t="str">
        <f>"923273234450275"</f>
        <v>923273234450275</v>
      </c>
      <c r="AQ490" s="12" t="s">
        <v>3346</v>
      </c>
      <c r="AR490" s="12" t="s">
        <v>5472</v>
      </c>
      <c r="AS490" s="12" t="s">
        <v>4641</v>
      </c>
      <c r="AT490" s="12"/>
      <c r="AU490" s="12" t="s">
        <v>309</v>
      </c>
      <c r="AV490" s="12"/>
      <c r="AW490" s="12"/>
      <c r="AX490" s="12">
        <v>0</v>
      </c>
      <c r="AY490" s="12">
        <v>5135</v>
      </c>
      <c r="AZ490" s="12">
        <v>0</v>
      </c>
      <c r="BA490" s="12" t="s">
        <v>4642</v>
      </c>
      <c r="BB490" s="12"/>
      <c r="BC490" s="12" t="s">
        <v>7285</v>
      </c>
      <c r="BD490" s="12"/>
      <c r="BE490" s="12" t="s">
        <v>2291</v>
      </c>
      <c r="BF490" s="12"/>
      <c r="BG490" s="12"/>
      <c r="BH490" s="12"/>
      <c r="BI490" s="12"/>
      <c r="BJ490" s="12"/>
      <c r="BK490" s="12"/>
      <c r="BL490" s="12" t="s">
        <v>2292</v>
      </c>
      <c r="BM490" s="12" t="s">
        <v>2292</v>
      </c>
      <c r="BN490" s="12" t="s">
        <v>2292</v>
      </c>
      <c r="BO490" s="12" t="s">
        <v>2291</v>
      </c>
      <c r="BP490" s="12"/>
      <c r="BQ490" s="12"/>
      <c r="BR490" s="12"/>
      <c r="BS490" s="12"/>
      <c r="BT490" s="12"/>
      <c r="BU490" s="12"/>
      <c r="BV490" s="12"/>
      <c r="BW490" s="12"/>
      <c r="BX490" s="12"/>
      <c r="BY490" s="13" t="s">
        <v>313</v>
      </c>
      <c r="BZ490" s="13" t="s">
        <v>312</v>
      </c>
      <c r="CA490" s="13"/>
      <c r="CB490" s="13"/>
      <c r="CC490" s="13"/>
      <c r="CD490" s="13"/>
      <c r="CE490" s="13"/>
      <c r="CF490" s="13"/>
    </row>
    <row r="491" spans="1:84" ht="18.600000000000001" customHeight="1" x14ac:dyDescent="0.25">
      <c r="A491" s="19" t="s">
        <v>177</v>
      </c>
      <c r="B491" s="2" t="s">
        <v>315</v>
      </c>
      <c r="C491" s="3" t="s">
        <v>2350</v>
      </c>
      <c r="D491" s="12" t="s">
        <v>1771</v>
      </c>
      <c r="E491" s="12" t="s">
        <v>1770</v>
      </c>
      <c r="F491" s="12" t="s">
        <v>3963</v>
      </c>
      <c r="G491" s="25">
        <v>692123</v>
      </c>
      <c r="H491" s="25">
        <v>593307</v>
      </c>
      <c r="I491" s="25">
        <v>15787</v>
      </c>
      <c r="J491" s="25">
        <v>60781</v>
      </c>
      <c r="K491" s="25">
        <v>7722</v>
      </c>
      <c r="L491" s="25">
        <v>1338</v>
      </c>
      <c r="M491" s="25">
        <v>9060</v>
      </c>
      <c r="N491" s="31">
        <v>0.85</v>
      </c>
      <c r="O491" s="25">
        <v>691453</v>
      </c>
      <c r="P491" s="25">
        <v>0</v>
      </c>
      <c r="Q491" s="25">
        <v>16144</v>
      </c>
      <c r="R491" s="25">
        <v>272</v>
      </c>
      <c r="S491" s="25">
        <v>263</v>
      </c>
      <c r="T491" s="25">
        <v>4689</v>
      </c>
      <c r="U491" s="61">
        <v>824</v>
      </c>
      <c r="V491" s="58">
        <v>2.9999999999999997E-4</v>
      </c>
      <c r="W491" s="33">
        <v>2.9999999999999997E-4</v>
      </c>
      <c r="X491" s="33">
        <v>2.0000000000000001E-4</v>
      </c>
      <c r="Y491" s="33">
        <v>2.0000000000000001E-4</v>
      </c>
      <c r="Z491" s="33">
        <v>2.0000000000000001E-4</v>
      </c>
      <c r="AA491" s="33">
        <v>1E-4</v>
      </c>
      <c r="AB491" s="25">
        <v>3893</v>
      </c>
      <c r="AC491" s="25">
        <v>3080</v>
      </c>
      <c r="AD491" s="25">
        <v>597</v>
      </c>
      <c r="AE491" s="25">
        <v>4</v>
      </c>
      <c r="AF491" s="25">
        <v>3</v>
      </c>
      <c r="AG491" s="25">
        <v>184</v>
      </c>
      <c r="AH491" s="25">
        <v>25</v>
      </c>
      <c r="AI491" s="12">
        <v>8.8699999999999992</v>
      </c>
      <c r="AJ491" s="25">
        <v>663560</v>
      </c>
      <c r="AK491" s="25">
        <v>-39642</v>
      </c>
      <c r="AL491" s="33">
        <v>-5.6399999999999999E-2</v>
      </c>
      <c r="AM491" s="3" t="s">
        <v>2350</v>
      </c>
      <c r="AN491" s="12" t="s">
        <v>1770</v>
      </c>
      <c r="AO491" s="12" t="s">
        <v>1770</v>
      </c>
      <c r="AP491" s="12" t="str">
        <f>"186047968105357"</f>
        <v>186047968105357</v>
      </c>
      <c r="AQ491" s="12" t="s">
        <v>1771</v>
      </c>
      <c r="AR491" s="12" t="s">
        <v>1772</v>
      </c>
      <c r="AS491" s="12" t="s">
        <v>1773</v>
      </c>
      <c r="AT491" s="12"/>
      <c r="AU491" s="12" t="s">
        <v>324</v>
      </c>
      <c r="AV491" s="12" t="s">
        <v>5746</v>
      </c>
      <c r="AW491" s="12" t="s">
        <v>1774</v>
      </c>
      <c r="AX491" s="12">
        <v>640</v>
      </c>
      <c r="AY491" s="12">
        <v>3555</v>
      </c>
      <c r="AZ491" s="12">
        <v>640</v>
      </c>
      <c r="BA491" s="12" t="s">
        <v>1775</v>
      </c>
      <c r="BB491" s="12" t="s">
        <v>6332</v>
      </c>
      <c r="BC491" s="12" t="s">
        <v>6333</v>
      </c>
      <c r="BD491" s="12"/>
      <c r="BE491" s="12" t="s">
        <v>2291</v>
      </c>
      <c r="BF491" s="12"/>
      <c r="BG491" s="12"/>
      <c r="BH491" s="12"/>
      <c r="BI491" s="12" t="s">
        <v>2351</v>
      </c>
      <c r="BJ491" s="12" t="s">
        <v>2352</v>
      </c>
      <c r="BK491" s="12"/>
      <c r="BL491" s="12" t="s">
        <v>2292</v>
      </c>
      <c r="BM491" s="12" t="s">
        <v>2292</v>
      </c>
      <c r="BN491" s="12" t="s">
        <v>2292</v>
      </c>
      <c r="BO491" s="12" t="s">
        <v>2291</v>
      </c>
      <c r="BP491" s="12" t="s">
        <v>1776</v>
      </c>
      <c r="BQ491" s="12"/>
      <c r="BR491" s="12"/>
      <c r="BS491" s="12"/>
      <c r="BT491" s="12" t="s">
        <v>2353</v>
      </c>
      <c r="BU491" s="12" t="s">
        <v>326</v>
      </c>
      <c r="BV491" s="12" t="s">
        <v>1772</v>
      </c>
      <c r="BW491" s="12" t="s">
        <v>1777</v>
      </c>
      <c r="BX491" s="12"/>
      <c r="BY491" s="13" t="s">
        <v>313</v>
      </c>
      <c r="BZ491" s="13" t="s">
        <v>312</v>
      </c>
      <c r="CA491" s="13"/>
      <c r="CB491" s="13"/>
      <c r="CC491" s="13"/>
      <c r="CD491" s="13"/>
      <c r="CE491" s="13"/>
      <c r="CF491" s="13"/>
    </row>
    <row r="492" spans="1:84" ht="18.600000000000001" customHeight="1" x14ac:dyDescent="0.25">
      <c r="A492" s="60" t="s">
        <v>177</v>
      </c>
      <c r="B492" s="2" t="s">
        <v>1780</v>
      </c>
      <c r="C492" s="3" t="s">
        <v>4494</v>
      </c>
      <c r="D492" s="12" t="s">
        <v>1778</v>
      </c>
      <c r="E492" s="12" t="s">
        <v>1779</v>
      </c>
      <c r="F492" s="12" t="s">
        <v>4169</v>
      </c>
      <c r="G492" s="25">
        <v>2354638</v>
      </c>
      <c r="H492" s="25">
        <v>2124732</v>
      </c>
      <c r="I492" s="25">
        <v>35127</v>
      </c>
      <c r="J492" s="25">
        <v>112506</v>
      </c>
      <c r="K492" s="25">
        <v>860368</v>
      </c>
      <c r="L492" s="25">
        <v>525648</v>
      </c>
      <c r="M492" s="25">
        <v>1386016</v>
      </c>
      <c r="N492" s="31">
        <v>0.62</v>
      </c>
      <c r="O492" s="25">
        <v>305336</v>
      </c>
      <c r="P492" s="25">
        <v>0</v>
      </c>
      <c r="Q492" s="25">
        <v>54136</v>
      </c>
      <c r="R492" s="25">
        <v>718</v>
      </c>
      <c r="S492" s="25">
        <v>808</v>
      </c>
      <c r="T492" s="25">
        <v>20942</v>
      </c>
      <c r="U492" s="61">
        <v>5491</v>
      </c>
      <c r="V492" s="58">
        <v>4.5999999999999999E-3</v>
      </c>
      <c r="W492" s="33">
        <v>5.0000000000000001E-3</v>
      </c>
      <c r="X492" s="33">
        <v>2.5999999999999999E-3</v>
      </c>
      <c r="Y492" s="33">
        <v>4.1999999999999997E-3</v>
      </c>
      <c r="Z492" s="33">
        <v>5.7000000000000002E-3</v>
      </c>
      <c r="AA492" s="33">
        <v>1.1999999999999999E-3</v>
      </c>
      <c r="AB492" s="25">
        <v>2310</v>
      </c>
      <c r="AC492" s="25">
        <v>1897</v>
      </c>
      <c r="AD492" s="25">
        <v>32</v>
      </c>
      <c r="AE492" s="25">
        <v>245</v>
      </c>
      <c r="AF492" s="25">
        <v>93</v>
      </c>
      <c r="AG492" s="25">
        <v>42</v>
      </c>
      <c r="AH492" s="25">
        <v>1</v>
      </c>
      <c r="AI492" s="12">
        <v>5.26</v>
      </c>
      <c r="AJ492" s="25">
        <v>255902</v>
      </c>
      <c r="AK492" s="25">
        <v>97603</v>
      </c>
      <c r="AL492" s="33">
        <v>0.61660000000000004</v>
      </c>
      <c r="AM492" s="3" t="s">
        <v>4494</v>
      </c>
      <c r="AN492" s="12" t="s">
        <v>1779</v>
      </c>
      <c r="AO492" s="12" t="s">
        <v>1779</v>
      </c>
      <c r="AP492" s="12" t="str">
        <f>"392491680944925"</f>
        <v>392491680944925</v>
      </c>
      <c r="AQ492" s="12" t="s">
        <v>1778</v>
      </c>
      <c r="AR492" s="12" t="s">
        <v>4587</v>
      </c>
      <c r="AS492" s="12" t="s">
        <v>4966</v>
      </c>
      <c r="AT492" s="12"/>
      <c r="AU492" s="12" t="s">
        <v>309</v>
      </c>
      <c r="AV492" s="12"/>
      <c r="AW492" s="12"/>
      <c r="AX492" s="12">
        <v>0</v>
      </c>
      <c r="AY492" s="12">
        <v>15313</v>
      </c>
      <c r="AZ492" s="12">
        <v>0</v>
      </c>
      <c r="BA492" s="12" t="s">
        <v>4588</v>
      </c>
      <c r="BB492" s="12"/>
      <c r="BC492" s="12" t="s">
        <v>6811</v>
      </c>
      <c r="BD492" s="12"/>
      <c r="BE492" s="12" t="s">
        <v>2291</v>
      </c>
      <c r="BF492" s="12"/>
      <c r="BG492" s="12"/>
      <c r="BH492" s="12"/>
      <c r="BI492" s="12"/>
      <c r="BJ492" s="12"/>
      <c r="BK492" s="12"/>
      <c r="BL492" s="12" t="s">
        <v>2292</v>
      </c>
      <c r="BM492" s="12" t="s">
        <v>2292</v>
      </c>
      <c r="BN492" s="12" t="s">
        <v>2292</v>
      </c>
      <c r="BO492" s="12" t="s">
        <v>2291</v>
      </c>
      <c r="BP492" s="12"/>
      <c r="BQ492" s="12"/>
      <c r="BR492" s="12"/>
      <c r="BS492" s="12"/>
      <c r="BT492" s="12"/>
      <c r="BU492" s="12"/>
      <c r="BV492" s="12"/>
      <c r="BW492" s="12"/>
      <c r="BX492" s="12"/>
      <c r="BY492" s="13" t="s">
        <v>313</v>
      </c>
      <c r="BZ492" s="13" t="s">
        <v>312</v>
      </c>
      <c r="CA492" s="13"/>
      <c r="CB492" s="13"/>
      <c r="CC492" s="13"/>
      <c r="CD492" s="13"/>
      <c r="CE492" s="13"/>
      <c r="CF492" s="13"/>
    </row>
    <row r="493" spans="1:84" ht="18.600000000000001" customHeight="1" x14ac:dyDescent="0.25">
      <c r="A493" s="60" t="s">
        <v>177</v>
      </c>
      <c r="B493" s="2" t="s">
        <v>335</v>
      </c>
      <c r="C493" s="3" t="s">
        <v>2431</v>
      </c>
      <c r="D493" s="12" t="s">
        <v>1782</v>
      </c>
      <c r="E493" s="12" t="s">
        <v>1781</v>
      </c>
      <c r="F493" s="12" t="s">
        <v>4012</v>
      </c>
      <c r="G493" s="25">
        <v>110351</v>
      </c>
      <c r="H493" s="25">
        <v>81324</v>
      </c>
      <c r="I493" s="25">
        <v>3367</v>
      </c>
      <c r="J493" s="25">
        <v>17622</v>
      </c>
      <c r="K493" s="25">
        <v>2121</v>
      </c>
      <c r="L493" s="25">
        <v>4609</v>
      </c>
      <c r="M493" s="25">
        <v>6730</v>
      </c>
      <c r="N493" s="31">
        <v>0.32</v>
      </c>
      <c r="O493" s="25">
        <v>25064</v>
      </c>
      <c r="P493" s="25">
        <v>0</v>
      </c>
      <c r="Q493" s="25">
        <v>1921</v>
      </c>
      <c r="R493" s="25">
        <v>86</v>
      </c>
      <c r="S493" s="25">
        <v>74</v>
      </c>
      <c r="T493" s="25">
        <v>4565</v>
      </c>
      <c r="U493" s="61">
        <v>1386</v>
      </c>
      <c r="V493" s="58">
        <v>4.0000000000000002E-4</v>
      </c>
      <c r="W493" s="33">
        <v>5.0000000000000001E-4</v>
      </c>
      <c r="X493" s="33">
        <v>4.0000000000000002E-4</v>
      </c>
      <c r="Y493" s="33">
        <v>2.0000000000000001E-4</v>
      </c>
      <c r="Z493" s="33">
        <v>6.9999999999999999E-4</v>
      </c>
      <c r="AA493" s="12" t="s">
        <v>3926</v>
      </c>
      <c r="AB493" s="25">
        <v>1034</v>
      </c>
      <c r="AC493" s="25">
        <v>469</v>
      </c>
      <c r="AD493" s="25">
        <v>18</v>
      </c>
      <c r="AE493" s="25">
        <v>537</v>
      </c>
      <c r="AF493" s="25">
        <v>1</v>
      </c>
      <c r="AG493" s="25">
        <v>9</v>
      </c>
      <c r="AH493" s="25">
        <v>0</v>
      </c>
      <c r="AI493" s="12">
        <v>2.36</v>
      </c>
      <c r="AJ493" s="25">
        <v>300018</v>
      </c>
      <c r="AK493" s="25">
        <v>1275</v>
      </c>
      <c r="AL493" s="33">
        <v>4.3E-3</v>
      </c>
      <c r="AM493" s="3" t="s">
        <v>2431</v>
      </c>
      <c r="AN493" s="12" t="s">
        <v>1781</v>
      </c>
      <c r="AO493" s="12" t="s">
        <v>1781</v>
      </c>
      <c r="AP493" s="12" t="str">
        <f>"146568755389260"</f>
        <v>146568755389260</v>
      </c>
      <c r="AQ493" s="12" t="s">
        <v>1782</v>
      </c>
      <c r="AR493" s="12" t="s">
        <v>4530</v>
      </c>
      <c r="AS493" s="12" t="s">
        <v>2432</v>
      </c>
      <c r="AT493" s="12"/>
      <c r="AU493" s="12" t="s">
        <v>324</v>
      </c>
      <c r="AV493" s="12" t="s">
        <v>5731</v>
      </c>
      <c r="AW493" s="12"/>
      <c r="AX493" s="12">
        <v>9777</v>
      </c>
      <c r="AY493" s="12">
        <v>2074</v>
      </c>
      <c r="AZ493" s="12">
        <v>0</v>
      </c>
      <c r="BA493" s="12" t="s">
        <v>1783</v>
      </c>
      <c r="BB493" s="12" t="s">
        <v>6461</v>
      </c>
      <c r="BC493" s="12" t="s">
        <v>6462</v>
      </c>
      <c r="BD493" s="12"/>
      <c r="BE493" s="12" t="s">
        <v>2291</v>
      </c>
      <c r="BF493" s="12"/>
      <c r="BG493" s="12"/>
      <c r="BH493" s="12"/>
      <c r="BI493" s="12" t="s">
        <v>4531</v>
      </c>
      <c r="BJ493" s="12"/>
      <c r="BK493" s="12"/>
      <c r="BL493" s="12" t="s">
        <v>2292</v>
      </c>
      <c r="BM493" s="12" t="s">
        <v>2292</v>
      </c>
      <c r="BN493" s="12" t="s">
        <v>2292</v>
      </c>
      <c r="BO493" s="12" t="s">
        <v>2291</v>
      </c>
      <c r="BP493" s="12"/>
      <c r="BQ493" s="12"/>
      <c r="BR493" s="12"/>
      <c r="BS493" s="12"/>
      <c r="BT493" s="12" t="s">
        <v>2433</v>
      </c>
      <c r="BU493" s="12" t="s">
        <v>326</v>
      </c>
      <c r="BV493" s="12"/>
      <c r="BW493" s="12" t="s">
        <v>5799</v>
      </c>
      <c r="BX493" s="12"/>
      <c r="BY493" s="13" t="s">
        <v>313</v>
      </c>
      <c r="BZ493" s="13" t="s">
        <v>312</v>
      </c>
      <c r="CA493" s="13"/>
      <c r="CB493" s="13"/>
      <c r="CC493" s="13"/>
      <c r="CD493" s="13"/>
      <c r="CE493" s="13"/>
      <c r="CF493" s="13"/>
    </row>
    <row r="494" spans="1:84" ht="18.600000000000001" customHeight="1" x14ac:dyDescent="0.25">
      <c r="A494" s="60" t="s">
        <v>177</v>
      </c>
      <c r="B494" s="2" t="s">
        <v>335</v>
      </c>
      <c r="C494" s="3" t="s">
        <v>2345</v>
      </c>
      <c r="D494" s="12" t="s">
        <v>1785</v>
      </c>
      <c r="E494" s="12" t="s">
        <v>1784</v>
      </c>
      <c r="F494" s="12" t="s">
        <v>3962</v>
      </c>
      <c r="G494" s="25">
        <v>1273</v>
      </c>
      <c r="H494" s="25">
        <v>954</v>
      </c>
      <c r="I494" s="25">
        <v>66</v>
      </c>
      <c r="J494" s="25">
        <v>196</v>
      </c>
      <c r="K494" s="25">
        <v>183</v>
      </c>
      <c r="L494" s="25">
        <v>112</v>
      </c>
      <c r="M494" s="25">
        <v>295</v>
      </c>
      <c r="N494" s="31">
        <v>0.62</v>
      </c>
      <c r="O494" s="25">
        <v>0</v>
      </c>
      <c r="P494" s="25">
        <v>0</v>
      </c>
      <c r="Q494" s="25">
        <v>41</v>
      </c>
      <c r="R494" s="25">
        <v>0</v>
      </c>
      <c r="S494" s="25">
        <v>3</v>
      </c>
      <c r="T494" s="25">
        <v>12</v>
      </c>
      <c r="U494" s="61">
        <v>1</v>
      </c>
      <c r="V494" s="58">
        <v>1.2999999999999999E-3</v>
      </c>
      <c r="W494" s="33">
        <v>1.1999999999999999E-3</v>
      </c>
      <c r="X494" s="33">
        <v>1E-3</v>
      </c>
      <c r="Y494" s="33">
        <v>3.0000000000000001E-3</v>
      </c>
      <c r="Z494" s="33">
        <v>8.9999999999999998E-4</v>
      </c>
      <c r="AA494" s="12" t="s">
        <v>3926</v>
      </c>
      <c r="AB494" s="25">
        <v>59</v>
      </c>
      <c r="AC494" s="25">
        <v>54</v>
      </c>
      <c r="AD494" s="25">
        <v>1</v>
      </c>
      <c r="AE494" s="25">
        <v>3</v>
      </c>
      <c r="AF494" s="25">
        <v>1</v>
      </c>
      <c r="AG494" s="25">
        <v>0</v>
      </c>
      <c r="AH494" s="25">
        <v>0</v>
      </c>
      <c r="AI494" s="12">
        <v>0.13</v>
      </c>
      <c r="AJ494" s="25">
        <v>16448</v>
      </c>
      <c r="AK494" s="25">
        <v>408</v>
      </c>
      <c r="AL494" s="33">
        <v>2.5399999999999999E-2</v>
      </c>
      <c r="AM494" s="3" t="s">
        <v>2345</v>
      </c>
      <c r="AN494" s="12" t="s">
        <v>1784</v>
      </c>
      <c r="AO494" s="12" t="s">
        <v>1784</v>
      </c>
      <c r="AP494" s="12" t="str">
        <f>"130463517052938"</f>
        <v>130463517052938</v>
      </c>
      <c r="AQ494" s="12" t="s">
        <v>1785</v>
      </c>
      <c r="AR494" s="12" t="s">
        <v>1786</v>
      </c>
      <c r="AS494" s="12" t="s">
        <v>5555</v>
      </c>
      <c r="AT494" s="12"/>
      <c r="AU494" s="12" t="s">
        <v>324</v>
      </c>
      <c r="AV494" s="12"/>
      <c r="AW494" s="12" t="s">
        <v>1787</v>
      </c>
      <c r="AX494" s="12">
        <v>0</v>
      </c>
      <c r="AY494" s="12">
        <v>51</v>
      </c>
      <c r="AZ494" s="12">
        <v>0</v>
      </c>
      <c r="BA494" s="12" t="s">
        <v>1788</v>
      </c>
      <c r="BB494" s="12" t="s">
        <v>5745</v>
      </c>
      <c r="BC494" s="12" t="s">
        <v>6331</v>
      </c>
      <c r="BD494" s="12"/>
      <c r="BE494" s="12" t="s">
        <v>2291</v>
      </c>
      <c r="BF494" s="12"/>
      <c r="BG494" s="12"/>
      <c r="BH494" s="12"/>
      <c r="BI494" s="12" t="s">
        <v>2346</v>
      </c>
      <c r="BJ494" s="12" t="s">
        <v>2347</v>
      </c>
      <c r="BK494" s="12"/>
      <c r="BL494" s="12" t="s">
        <v>2292</v>
      </c>
      <c r="BM494" s="12" t="s">
        <v>2292</v>
      </c>
      <c r="BN494" s="12" t="s">
        <v>2292</v>
      </c>
      <c r="BO494" s="12" t="s">
        <v>2291</v>
      </c>
      <c r="BP494" s="12" t="s">
        <v>2348</v>
      </c>
      <c r="BQ494" s="12"/>
      <c r="BR494" s="12"/>
      <c r="BS494" s="12"/>
      <c r="BT494" s="12">
        <v>3125836366</v>
      </c>
      <c r="BU494" s="12"/>
      <c r="BV494" s="12"/>
      <c r="BW494" s="12" t="s">
        <v>2349</v>
      </c>
      <c r="BX494" s="12"/>
      <c r="BY494" s="13" t="s">
        <v>313</v>
      </c>
      <c r="BZ494" s="13" t="s">
        <v>6174</v>
      </c>
      <c r="CA494" s="13"/>
      <c r="CB494" s="13"/>
      <c r="CC494" s="13"/>
      <c r="CD494" s="13"/>
      <c r="CE494" s="13"/>
      <c r="CF494" s="13"/>
    </row>
    <row r="495" spans="1:84" ht="18.600000000000001" customHeight="1" x14ac:dyDescent="0.25">
      <c r="A495" s="60" t="s">
        <v>177</v>
      </c>
      <c r="B495" s="2" t="s">
        <v>335</v>
      </c>
      <c r="C495" s="3" t="s">
        <v>3039</v>
      </c>
      <c r="D495" s="12" t="s">
        <v>1790</v>
      </c>
      <c r="E495" s="12" t="s">
        <v>1789</v>
      </c>
      <c r="F495" s="12" t="s">
        <v>4392</v>
      </c>
      <c r="G495" s="25">
        <v>16749</v>
      </c>
      <c r="H495" s="25">
        <v>7879</v>
      </c>
      <c r="I495" s="25">
        <v>561</v>
      </c>
      <c r="J495" s="25">
        <v>7859</v>
      </c>
      <c r="K495" s="25">
        <v>2422</v>
      </c>
      <c r="L495" s="25">
        <v>13941</v>
      </c>
      <c r="M495" s="25">
        <v>16363</v>
      </c>
      <c r="N495" s="31">
        <v>0.15</v>
      </c>
      <c r="O495" s="25">
        <v>1751</v>
      </c>
      <c r="P495" s="25">
        <v>0</v>
      </c>
      <c r="Q495" s="25">
        <v>234</v>
      </c>
      <c r="R495" s="25">
        <v>17</v>
      </c>
      <c r="S495" s="25">
        <v>18</v>
      </c>
      <c r="T495" s="25">
        <v>136</v>
      </c>
      <c r="U495" s="61">
        <v>45</v>
      </c>
      <c r="V495" s="58">
        <v>1.4E-3</v>
      </c>
      <c r="W495" s="33">
        <v>1.9E-3</v>
      </c>
      <c r="X495" s="33">
        <v>1.1000000000000001E-3</v>
      </c>
      <c r="Y495" s="33">
        <v>8.9999999999999998E-4</v>
      </c>
      <c r="Z495" s="33">
        <v>1.17E-2</v>
      </c>
      <c r="AA495" s="33">
        <v>4.0000000000000002E-4</v>
      </c>
      <c r="AB495" s="25">
        <v>871</v>
      </c>
      <c r="AC495" s="25">
        <v>334</v>
      </c>
      <c r="AD495" s="25">
        <v>15</v>
      </c>
      <c r="AE495" s="25">
        <v>508</v>
      </c>
      <c r="AF495" s="25">
        <v>3</v>
      </c>
      <c r="AG495" s="25">
        <v>5</v>
      </c>
      <c r="AH495" s="25">
        <v>6</v>
      </c>
      <c r="AI495" s="12">
        <v>1.98</v>
      </c>
      <c r="AJ495" s="25">
        <v>16534</v>
      </c>
      <c r="AK495" s="25">
        <v>5190</v>
      </c>
      <c r="AL495" s="33">
        <v>0.45750000000000002</v>
      </c>
      <c r="AM495" s="3" t="s">
        <v>3039</v>
      </c>
      <c r="AN495" s="12" t="s">
        <v>1789</v>
      </c>
      <c r="AO495" s="12" t="s">
        <v>1789</v>
      </c>
      <c r="AP495" s="12" t="str">
        <f>"290116607683533"</f>
        <v>290116607683533</v>
      </c>
      <c r="AQ495" s="12" t="s">
        <v>1790</v>
      </c>
      <c r="AR495" s="12" t="s">
        <v>1791</v>
      </c>
      <c r="AS495" s="12" t="s">
        <v>3040</v>
      </c>
      <c r="AT495" s="12"/>
      <c r="AU495" s="12" t="s">
        <v>324</v>
      </c>
      <c r="AV495" s="12" t="s">
        <v>5731</v>
      </c>
      <c r="AW495" s="12"/>
      <c r="AX495" s="12">
        <v>725</v>
      </c>
      <c r="AY495" s="12">
        <v>298</v>
      </c>
      <c r="AZ495" s="12">
        <v>0</v>
      </c>
      <c r="BA495" s="12" t="s">
        <v>1792</v>
      </c>
      <c r="BB495" s="12" t="s">
        <v>7314</v>
      </c>
      <c r="BC495" s="12" t="s">
        <v>7315</v>
      </c>
      <c r="BD495" s="12"/>
      <c r="BE495" s="12" t="s">
        <v>2291</v>
      </c>
      <c r="BF495" s="12"/>
      <c r="BG495" s="12"/>
      <c r="BH495" s="12"/>
      <c r="BI495" s="12" t="s">
        <v>4643</v>
      </c>
      <c r="BJ495" s="12"/>
      <c r="BK495" s="12" t="s">
        <v>6581</v>
      </c>
      <c r="BL495" s="12" t="s">
        <v>2292</v>
      </c>
      <c r="BM495" s="12" t="s">
        <v>2292</v>
      </c>
      <c r="BN495" s="12" t="s">
        <v>2292</v>
      </c>
      <c r="BO495" s="12" t="s">
        <v>2291</v>
      </c>
      <c r="BP495" s="12"/>
      <c r="BQ495" s="12"/>
      <c r="BR495" s="12"/>
      <c r="BS495" s="12"/>
      <c r="BT495" s="12" t="s">
        <v>3041</v>
      </c>
      <c r="BU495" s="12" t="s">
        <v>326</v>
      </c>
      <c r="BV495" s="12"/>
      <c r="BW495" s="12" t="s">
        <v>4644</v>
      </c>
      <c r="BX495" s="12"/>
      <c r="BY495" s="13" t="s">
        <v>313</v>
      </c>
      <c r="BZ495" s="13" t="s">
        <v>312</v>
      </c>
      <c r="CA495" s="13"/>
      <c r="CB495" s="13"/>
      <c r="CC495" s="13"/>
      <c r="CD495" s="13"/>
      <c r="CE495" s="13"/>
      <c r="CF495" s="13"/>
    </row>
    <row r="496" spans="1:84" ht="18.600000000000001" customHeight="1" x14ac:dyDescent="0.25">
      <c r="A496" s="60" t="s">
        <v>180</v>
      </c>
      <c r="B496" s="2" t="s">
        <v>1799</v>
      </c>
      <c r="C496" s="3" t="s">
        <v>2849</v>
      </c>
      <c r="D496" s="12" t="s">
        <v>1794</v>
      </c>
      <c r="E496" s="12" t="s">
        <v>1795</v>
      </c>
      <c r="F496" s="12" t="s">
        <v>4265</v>
      </c>
      <c r="G496" s="25">
        <v>4411884</v>
      </c>
      <c r="H496" s="25">
        <v>3361120</v>
      </c>
      <c r="I496" s="25">
        <v>200170</v>
      </c>
      <c r="J496" s="25">
        <v>428826</v>
      </c>
      <c r="K496" s="25">
        <v>27778840</v>
      </c>
      <c r="L496" s="25">
        <v>9934528</v>
      </c>
      <c r="M496" s="25">
        <v>37713368</v>
      </c>
      <c r="N496" s="31">
        <v>0.74</v>
      </c>
      <c r="O496" s="25">
        <v>503704</v>
      </c>
      <c r="P496" s="25">
        <v>1807053</v>
      </c>
      <c r="Q496" s="25">
        <v>293940</v>
      </c>
      <c r="R496" s="25">
        <v>14095</v>
      </c>
      <c r="S496" s="25">
        <v>26095</v>
      </c>
      <c r="T496" s="25">
        <v>67015</v>
      </c>
      <c r="U496" s="61">
        <v>20440</v>
      </c>
      <c r="V496" s="58">
        <v>3.7000000000000002E-3</v>
      </c>
      <c r="W496" s="33">
        <v>3.7000000000000002E-3</v>
      </c>
      <c r="X496" s="33">
        <v>3.5000000000000001E-3</v>
      </c>
      <c r="Y496" s="33">
        <v>3.0999999999999999E-3</v>
      </c>
      <c r="Z496" s="33">
        <v>3.7000000000000002E-3</v>
      </c>
      <c r="AA496" s="12" t="s">
        <v>3926</v>
      </c>
      <c r="AB496" s="25">
        <v>1911</v>
      </c>
      <c r="AC496" s="25">
        <v>950</v>
      </c>
      <c r="AD496" s="25">
        <v>12</v>
      </c>
      <c r="AE496" s="25">
        <v>26</v>
      </c>
      <c r="AF496" s="25">
        <v>913</v>
      </c>
      <c r="AG496" s="25">
        <v>10</v>
      </c>
      <c r="AH496" s="25">
        <v>0</v>
      </c>
      <c r="AI496" s="12">
        <v>4.3499999999999996</v>
      </c>
      <c r="AJ496" s="25">
        <v>705920</v>
      </c>
      <c r="AK496" s="25">
        <v>147253</v>
      </c>
      <c r="AL496" s="33">
        <v>0.2636</v>
      </c>
      <c r="AM496" s="3" t="s">
        <v>2849</v>
      </c>
      <c r="AN496" s="12" t="s">
        <v>1795</v>
      </c>
      <c r="AO496" s="12" t="s">
        <v>1795</v>
      </c>
      <c r="AP496" s="12" t="str">
        <f>"474409562693441"</f>
        <v>474409562693441</v>
      </c>
      <c r="AQ496" s="12" t="s">
        <v>1794</v>
      </c>
      <c r="AR496" s="12" t="s">
        <v>1796</v>
      </c>
      <c r="AS496" s="12" t="s">
        <v>1797</v>
      </c>
      <c r="AT496" s="12" t="s">
        <v>2850</v>
      </c>
      <c r="AU496" s="12" t="s">
        <v>309</v>
      </c>
      <c r="AV496" s="12"/>
      <c r="AW496" s="12"/>
      <c r="AX496" s="12">
        <v>0</v>
      </c>
      <c r="AY496" s="12">
        <v>34810</v>
      </c>
      <c r="AZ496" s="12">
        <v>0</v>
      </c>
      <c r="BA496" s="12" t="s">
        <v>1798</v>
      </c>
      <c r="BB496" s="12"/>
      <c r="BC496" s="12" t="s">
        <v>7023</v>
      </c>
      <c r="BD496" s="12"/>
      <c r="BE496" s="12" t="s">
        <v>2291</v>
      </c>
      <c r="BF496" s="12"/>
      <c r="BG496" s="12"/>
      <c r="BH496" s="12"/>
      <c r="BI496" s="12"/>
      <c r="BJ496" s="12"/>
      <c r="BK496" s="12"/>
      <c r="BL496" s="12" t="s">
        <v>2292</v>
      </c>
      <c r="BM496" s="12" t="s">
        <v>2292</v>
      </c>
      <c r="BN496" s="12" t="s">
        <v>2292</v>
      </c>
      <c r="BO496" s="12" t="s">
        <v>2291</v>
      </c>
      <c r="BP496" s="12"/>
      <c r="BQ496" s="12"/>
      <c r="BR496" s="12"/>
      <c r="BS496" s="12"/>
      <c r="BT496" s="12"/>
      <c r="BU496" s="12"/>
      <c r="BV496" s="12"/>
      <c r="BW496" s="12"/>
      <c r="BX496" s="12"/>
      <c r="BY496" s="13" t="s">
        <v>313</v>
      </c>
      <c r="BZ496" s="13" t="s">
        <v>6174</v>
      </c>
      <c r="CA496" s="13" t="s">
        <v>6170</v>
      </c>
      <c r="CB496" s="13" t="s">
        <v>312</v>
      </c>
      <c r="CC496" s="13"/>
      <c r="CD496" s="13" t="s">
        <v>6198</v>
      </c>
      <c r="CE496" s="13"/>
      <c r="CF496" s="13"/>
    </row>
    <row r="497" spans="1:84" ht="18.600000000000001" customHeight="1" x14ac:dyDescent="0.25">
      <c r="A497" s="60" t="s">
        <v>180</v>
      </c>
      <c r="B497" s="2" t="s">
        <v>314</v>
      </c>
      <c r="C497" s="3" t="s">
        <v>2901</v>
      </c>
      <c r="D497" s="12" t="s">
        <v>1801</v>
      </c>
      <c r="E497" s="12" t="s">
        <v>1800</v>
      </c>
      <c r="F497" s="12" t="s">
        <v>4304</v>
      </c>
      <c r="G497" s="25">
        <v>217857</v>
      </c>
      <c r="H497" s="25">
        <v>169739</v>
      </c>
      <c r="I497" s="25">
        <v>5170</v>
      </c>
      <c r="J497" s="25">
        <v>25073</v>
      </c>
      <c r="K497" s="25">
        <v>90593</v>
      </c>
      <c r="L497" s="25">
        <v>169047</v>
      </c>
      <c r="M497" s="25">
        <v>259640</v>
      </c>
      <c r="N497" s="31">
        <v>0.35</v>
      </c>
      <c r="O497" s="25">
        <v>185290</v>
      </c>
      <c r="P497" s="25">
        <v>0</v>
      </c>
      <c r="Q497" s="25">
        <v>13422</v>
      </c>
      <c r="R497" s="25">
        <v>398</v>
      </c>
      <c r="S497" s="25">
        <v>1070</v>
      </c>
      <c r="T497" s="25">
        <v>2401</v>
      </c>
      <c r="U497" s="61">
        <v>583</v>
      </c>
      <c r="V497" s="58">
        <v>2.5000000000000001E-3</v>
      </c>
      <c r="W497" s="33">
        <v>2.5999999999999999E-3</v>
      </c>
      <c r="X497" s="33">
        <v>2.8E-3</v>
      </c>
      <c r="Y497" s="33">
        <v>9.2999999999999992E-3</v>
      </c>
      <c r="Z497" s="33">
        <v>5.4000000000000003E-3</v>
      </c>
      <c r="AA497" s="33">
        <v>1.4E-3</v>
      </c>
      <c r="AB497" s="25">
        <v>1977</v>
      </c>
      <c r="AC497" s="25">
        <v>1063</v>
      </c>
      <c r="AD497" s="25">
        <v>568</v>
      </c>
      <c r="AE497" s="25">
        <v>1</v>
      </c>
      <c r="AF497" s="25">
        <v>51</v>
      </c>
      <c r="AG497" s="25">
        <v>287</v>
      </c>
      <c r="AH497" s="25">
        <v>7</v>
      </c>
      <c r="AI497" s="12">
        <v>4.5</v>
      </c>
      <c r="AJ497" s="25">
        <v>46838</v>
      </c>
      <c r="AK497" s="25">
        <v>7480</v>
      </c>
      <c r="AL497" s="33">
        <v>0.19009999999999999</v>
      </c>
      <c r="AM497" s="3" t="s">
        <v>2901</v>
      </c>
      <c r="AN497" s="12" t="s">
        <v>1800</v>
      </c>
      <c r="AO497" s="12" t="s">
        <v>1800</v>
      </c>
      <c r="AP497" s="12" t="str">
        <f>"296958677115673"</f>
        <v>296958677115673</v>
      </c>
      <c r="AQ497" s="12" t="s">
        <v>1801</v>
      </c>
      <c r="AR497" s="12" t="s">
        <v>1802</v>
      </c>
      <c r="AS497" s="12" t="s">
        <v>2902</v>
      </c>
      <c r="AT497" s="12"/>
      <c r="AU497" s="12" t="s">
        <v>324</v>
      </c>
      <c r="AV497" s="12" t="s">
        <v>5911</v>
      </c>
      <c r="AW497" s="12" t="s">
        <v>1803</v>
      </c>
      <c r="AX497" s="12">
        <v>15376</v>
      </c>
      <c r="AY497" s="12">
        <v>3168</v>
      </c>
      <c r="AZ497" s="12">
        <v>15376</v>
      </c>
      <c r="BA497" s="12" t="s">
        <v>1804</v>
      </c>
      <c r="BB497" s="12" t="s">
        <v>7105</v>
      </c>
      <c r="BC497" s="12" t="s">
        <v>7106</v>
      </c>
      <c r="BD497" s="12"/>
      <c r="BE497" s="12" t="s">
        <v>2291</v>
      </c>
      <c r="BF497" s="12"/>
      <c r="BG497" s="12"/>
      <c r="BH497" s="12"/>
      <c r="BI497" s="12" t="s">
        <v>1805</v>
      </c>
      <c r="BJ497" s="12" t="s">
        <v>1806</v>
      </c>
      <c r="BK497" s="12"/>
      <c r="BL497" s="12" t="s">
        <v>2292</v>
      </c>
      <c r="BM497" s="12" t="s">
        <v>2292</v>
      </c>
      <c r="BN497" s="12" t="s">
        <v>2292</v>
      </c>
      <c r="BO497" s="12" t="s">
        <v>2291</v>
      </c>
      <c r="BP497" s="12"/>
      <c r="BQ497" s="12"/>
      <c r="BR497" s="12"/>
      <c r="BS497" s="12"/>
      <c r="BT497" s="12"/>
      <c r="BU497" s="12" t="s">
        <v>326</v>
      </c>
      <c r="BV497" s="12"/>
      <c r="BW497" s="12" t="s">
        <v>1807</v>
      </c>
      <c r="BX497" s="12"/>
      <c r="BY497" s="13" t="s">
        <v>313</v>
      </c>
      <c r="BZ497" s="13" t="s">
        <v>312</v>
      </c>
      <c r="CA497" s="13"/>
      <c r="CB497" s="13"/>
      <c r="CC497" s="13"/>
      <c r="CD497" s="13"/>
      <c r="CE497" s="13"/>
      <c r="CF497" s="13"/>
    </row>
    <row r="498" spans="1:84" ht="18.600000000000001" customHeight="1" x14ac:dyDescent="0.25">
      <c r="A498" s="60" t="s">
        <v>180</v>
      </c>
      <c r="B498" s="2" t="s">
        <v>3341</v>
      </c>
      <c r="C498" s="3" t="s">
        <v>3342</v>
      </c>
      <c r="D498" s="12" t="s">
        <v>3347</v>
      </c>
      <c r="E498" s="12" t="s">
        <v>3343</v>
      </c>
      <c r="F498" s="12" t="s">
        <v>4426</v>
      </c>
      <c r="G498" s="25">
        <v>1322022</v>
      </c>
      <c r="H498" s="25">
        <v>935370</v>
      </c>
      <c r="I498" s="25">
        <v>117588</v>
      </c>
      <c r="J498" s="25">
        <v>157275</v>
      </c>
      <c r="K498" s="25">
        <v>7460214</v>
      </c>
      <c r="L498" s="25">
        <v>2610591</v>
      </c>
      <c r="M498" s="25">
        <v>10070805</v>
      </c>
      <c r="N498" s="31">
        <v>0.74</v>
      </c>
      <c r="O498" s="25">
        <v>611042</v>
      </c>
      <c r="P498" s="25">
        <v>959983</v>
      </c>
      <c r="Q498" s="25">
        <v>56456</v>
      </c>
      <c r="R498" s="25">
        <v>7309</v>
      </c>
      <c r="S498" s="25">
        <v>20341</v>
      </c>
      <c r="T498" s="25">
        <v>14893</v>
      </c>
      <c r="U498" s="61">
        <v>12770</v>
      </c>
      <c r="V498" s="58">
        <v>3.5999999999999999E-3</v>
      </c>
      <c r="W498" s="33">
        <v>3.3999999999999998E-3</v>
      </c>
      <c r="X498" s="33">
        <v>3.8E-3</v>
      </c>
      <c r="Y498" s="33">
        <v>4.1999999999999997E-3</v>
      </c>
      <c r="Z498" s="33">
        <v>3.5999999999999999E-3</v>
      </c>
      <c r="AA498" s="33">
        <v>2.0999999999999999E-3</v>
      </c>
      <c r="AB498" s="25">
        <v>1863</v>
      </c>
      <c r="AC498" s="25">
        <v>908</v>
      </c>
      <c r="AD498" s="25">
        <v>206</v>
      </c>
      <c r="AE498" s="25">
        <v>51</v>
      </c>
      <c r="AF498" s="25">
        <v>622</v>
      </c>
      <c r="AG498" s="25">
        <v>54</v>
      </c>
      <c r="AH498" s="25">
        <v>22</v>
      </c>
      <c r="AI498" s="12">
        <v>4.24</v>
      </c>
      <c r="AJ498" s="25">
        <v>264659</v>
      </c>
      <c r="AK498" s="25">
        <v>115070</v>
      </c>
      <c r="AL498" s="33">
        <v>0.76919999999999999</v>
      </c>
      <c r="AM498" s="3" t="s">
        <v>3342</v>
      </c>
      <c r="AN498" s="12" t="s">
        <v>3343</v>
      </c>
      <c r="AO498" s="12" t="s">
        <v>3343</v>
      </c>
      <c r="AP498" s="12" t="str">
        <f>"149481385220784"</f>
        <v>149481385220784</v>
      </c>
      <c r="AQ498" s="12" t="s">
        <v>3347</v>
      </c>
      <c r="AR498" s="12" t="s">
        <v>4664</v>
      </c>
      <c r="AS498" s="12" t="s">
        <v>3480</v>
      </c>
      <c r="AT498" s="12" t="s">
        <v>3481</v>
      </c>
      <c r="AU498" s="12" t="s">
        <v>309</v>
      </c>
      <c r="AV498" s="12"/>
      <c r="AW498" s="12"/>
      <c r="AX498" s="12">
        <v>0</v>
      </c>
      <c r="AY498" s="12">
        <v>11671</v>
      </c>
      <c r="AZ498" s="12">
        <v>0</v>
      </c>
      <c r="BA498" s="12" t="s">
        <v>3482</v>
      </c>
      <c r="BB498" s="12"/>
      <c r="BC498" s="12" t="s">
        <v>7387</v>
      </c>
      <c r="BD498" s="12"/>
      <c r="BE498" s="12" t="s">
        <v>2291</v>
      </c>
      <c r="BF498" s="12"/>
      <c r="BG498" s="12"/>
      <c r="BH498" s="12"/>
      <c r="BI498" s="12"/>
      <c r="BJ498" s="12"/>
      <c r="BK498" s="12"/>
      <c r="BL498" s="12" t="s">
        <v>2292</v>
      </c>
      <c r="BM498" s="12" t="s">
        <v>2292</v>
      </c>
      <c r="BN498" s="12" t="s">
        <v>2292</v>
      </c>
      <c r="BO498" s="12" t="s">
        <v>2291</v>
      </c>
      <c r="BP498" s="12"/>
      <c r="BQ498" s="12"/>
      <c r="BR498" s="12"/>
      <c r="BS498" s="12"/>
      <c r="BT498" s="12"/>
      <c r="BU498" s="12"/>
      <c r="BV498" s="12"/>
      <c r="BW498" s="12"/>
      <c r="BX498" s="12"/>
      <c r="BY498" s="13" t="s">
        <v>313</v>
      </c>
      <c r="BZ498" s="13" t="s">
        <v>6173</v>
      </c>
      <c r="CA498" s="13" t="s">
        <v>6170</v>
      </c>
      <c r="CB498" s="13" t="s">
        <v>312</v>
      </c>
      <c r="CC498" s="13"/>
      <c r="CD498" s="13" t="s">
        <v>6198</v>
      </c>
      <c r="CE498" s="13" t="s">
        <v>6175</v>
      </c>
      <c r="CF498" s="13"/>
    </row>
    <row r="499" spans="1:84" ht="18.600000000000001" customHeight="1" x14ac:dyDescent="0.25">
      <c r="A499" s="60" t="s">
        <v>180</v>
      </c>
      <c r="B499" s="2" t="s">
        <v>315</v>
      </c>
      <c r="C499" s="3" t="s">
        <v>2632</v>
      </c>
      <c r="D499" s="12" t="s">
        <v>1809</v>
      </c>
      <c r="E499" s="12" t="s">
        <v>1808</v>
      </c>
      <c r="F499" s="12" t="s">
        <v>4129</v>
      </c>
      <c r="G499" s="25">
        <v>94542</v>
      </c>
      <c r="H499" s="25">
        <v>55178</v>
      </c>
      <c r="I499" s="25">
        <v>5330</v>
      </c>
      <c r="J499" s="25">
        <v>27410</v>
      </c>
      <c r="K499" s="25">
        <v>87515</v>
      </c>
      <c r="L499" s="25">
        <v>109890</v>
      </c>
      <c r="M499" s="25">
        <v>197405</v>
      </c>
      <c r="N499" s="31">
        <v>0.44</v>
      </c>
      <c r="O499" s="25">
        <v>158884</v>
      </c>
      <c r="P499" s="25">
        <v>0</v>
      </c>
      <c r="Q499" s="25">
        <v>2481</v>
      </c>
      <c r="R499" s="25">
        <v>1085</v>
      </c>
      <c r="S499" s="25">
        <v>1523</v>
      </c>
      <c r="T499" s="25">
        <v>842</v>
      </c>
      <c r="U499" s="61">
        <v>691</v>
      </c>
      <c r="V499" s="58">
        <v>1.2999999999999999E-3</v>
      </c>
      <c r="W499" s="33">
        <v>1.5E-3</v>
      </c>
      <c r="X499" s="33">
        <v>1E-3</v>
      </c>
      <c r="Y499" s="33">
        <v>1.1000000000000001E-3</v>
      </c>
      <c r="Z499" s="33">
        <v>2.0999999999999999E-3</v>
      </c>
      <c r="AA499" s="33">
        <v>8.9999999999999998E-4</v>
      </c>
      <c r="AB499" s="25">
        <v>1853</v>
      </c>
      <c r="AC499" s="25">
        <v>985</v>
      </c>
      <c r="AD499" s="25">
        <v>563</v>
      </c>
      <c r="AE499" s="25">
        <v>4</v>
      </c>
      <c r="AF499" s="25">
        <v>80</v>
      </c>
      <c r="AG499" s="25">
        <v>174</v>
      </c>
      <c r="AH499" s="25">
        <v>47</v>
      </c>
      <c r="AI499" s="12">
        <v>4.22</v>
      </c>
      <c r="AJ499" s="25">
        <v>42258</v>
      </c>
      <c r="AK499" s="25">
        <v>8210</v>
      </c>
      <c r="AL499" s="33">
        <v>0.24110000000000001</v>
      </c>
      <c r="AM499" s="3" t="s">
        <v>2632</v>
      </c>
      <c r="AN499" s="12" t="s">
        <v>1808</v>
      </c>
      <c r="AO499" s="12" t="s">
        <v>1808</v>
      </c>
      <c r="AP499" s="12" t="str">
        <f>"210809715619097"</f>
        <v>210809715619097</v>
      </c>
      <c r="AQ499" s="12" t="s">
        <v>1809</v>
      </c>
      <c r="AR499" s="12" t="s">
        <v>1810</v>
      </c>
      <c r="AS499" s="12" t="s">
        <v>1811</v>
      </c>
      <c r="AT499" s="12"/>
      <c r="AU499" s="12" t="s">
        <v>324</v>
      </c>
      <c r="AV499" s="12" t="s">
        <v>5731</v>
      </c>
      <c r="AW499" s="12" t="s">
        <v>1812</v>
      </c>
      <c r="AX499" s="12">
        <v>137</v>
      </c>
      <c r="AY499" s="12">
        <v>1648</v>
      </c>
      <c r="AZ499" s="12">
        <v>137</v>
      </c>
      <c r="BA499" s="12" t="s">
        <v>1813</v>
      </c>
      <c r="BB499" s="12" t="s">
        <v>6718</v>
      </c>
      <c r="BC499" s="12" t="s">
        <v>6719</v>
      </c>
      <c r="BD499" s="12"/>
      <c r="BE499" s="12" t="s">
        <v>2291</v>
      </c>
      <c r="BF499" s="12"/>
      <c r="BG499" s="12"/>
      <c r="BH499" s="12"/>
      <c r="BI499" s="12"/>
      <c r="BJ499" s="12"/>
      <c r="BK499" s="12"/>
      <c r="BL499" s="12" t="s">
        <v>2292</v>
      </c>
      <c r="BM499" s="12" t="s">
        <v>2292</v>
      </c>
      <c r="BN499" s="12" t="s">
        <v>2292</v>
      </c>
      <c r="BO499" s="12" t="s">
        <v>2291</v>
      </c>
      <c r="BP499" s="12"/>
      <c r="BQ499" s="12"/>
      <c r="BR499" s="12"/>
      <c r="BS499" s="12"/>
      <c r="BT499" s="12" t="s">
        <v>5870</v>
      </c>
      <c r="BU499" s="12" t="s">
        <v>326</v>
      </c>
      <c r="BV499" s="12"/>
      <c r="BW499" s="12" t="s">
        <v>5871</v>
      </c>
      <c r="BX499" s="12"/>
      <c r="BY499" s="13" t="s">
        <v>313</v>
      </c>
      <c r="BZ499" s="13" t="s">
        <v>312</v>
      </c>
      <c r="CA499" s="13"/>
      <c r="CB499" s="13"/>
      <c r="CC499" s="13"/>
      <c r="CD499" s="13"/>
      <c r="CE499" s="13" t="s">
        <v>6175</v>
      </c>
      <c r="CF499" s="13"/>
    </row>
    <row r="500" spans="1:84" ht="18.600000000000001" customHeight="1" x14ac:dyDescent="0.25">
      <c r="A500" s="60" t="s">
        <v>180</v>
      </c>
      <c r="B500" s="2" t="s">
        <v>315</v>
      </c>
      <c r="C500" s="3" t="s">
        <v>3053</v>
      </c>
      <c r="D500" s="12" t="s">
        <v>1815</v>
      </c>
      <c r="E500" s="12" t="s">
        <v>1814</v>
      </c>
      <c r="F500" s="12" t="s">
        <v>4399</v>
      </c>
      <c r="G500" s="25">
        <v>0</v>
      </c>
      <c r="H500" s="25">
        <v>0</v>
      </c>
      <c r="I500" s="25">
        <v>0</v>
      </c>
      <c r="J500" s="25">
        <v>0</v>
      </c>
      <c r="K500" s="25">
        <v>0</v>
      </c>
      <c r="L500" s="25">
        <v>0</v>
      </c>
      <c r="M500" s="25">
        <v>0</v>
      </c>
      <c r="N500" s="31">
        <v>0</v>
      </c>
      <c r="O500" s="25">
        <v>0</v>
      </c>
      <c r="P500" s="25">
        <v>0</v>
      </c>
      <c r="Q500" s="25">
        <v>0</v>
      </c>
      <c r="R500" s="25">
        <v>0</v>
      </c>
      <c r="S500" s="25">
        <v>0</v>
      </c>
      <c r="T500" s="25">
        <v>0</v>
      </c>
      <c r="U500" s="61">
        <v>0</v>
      </c>
      <c r="V500" s="59"/>
      <c r="W500" s="12" t="s">
        <v>3926</v>
      </c>
      <c r="X500" s="12" t="s">
        <v>3926</v>
      </c>
      <c r="Y500" s="12" t="s">
        <v>3926</v>
      </c>
      <c r="Z500" s="12" t="s">
        <v>3926</v>
      </c>
      <c r="AA500" s="12" t="s">
        <v>3926</v>
      </c>
      <c r="AB500" s="25" t="s">
        <v>3927</v>
      </c>
      <c r="AC500" s="25">
        <v>0</v>
      </c>
      <c r="AD500" s="25">
        <v>0</v>
      </c>
      <c r="AE500" s="25">
        <v>0</v>
      </c>
      <c r="AF500" s="25">
        <v>0</v>
      </c>
      <c r="AG500" s="25">
        <v>0</v>
      </c>
      <c r="AH500" s="25">
        <v>0</v>
      </c>
      <c r="AI500" s="12">
        <v>0</v>
      </c>
      <c r="AJ500" s="25">
        <v>1092</v>
      </c>
      <c r="AK500" s="25">
        <v>124</v>
      </c>
      <c r="AL500" s="33">
        <v>0.12809999999999999</v>
      </c>
      <c r="AM500" s="3" t="s">
        <v>3053</v>
      </c>
      <c r="AN500" s="12" t="s">
        <v>1814</v>
      </c>
      <c r="AO500" s="12" t="s">
        <v>1814</v>
      </c>
      <c r="AP500" s="12" t="str">
        <f>"222208794472818"</f>
        <v>222208794472818</v>
      </c>
      <c r="AQ500" s="12" t="s">
        <v>1815</v>
      </c>
      <c r="AR500" s="12"/>
      <c r="AS500" s="12"/>
      <c r="AT500" s="12"/>
      <c r="AU500" s="12" t="s">
        <v>324</v>
      </c>
      <c r="AV500" s="12"/>
      <c r="AW500" s="12"/>
      <c r="AX500" s="12">
        <v>0</v>
      </c>
      <c r="AY500" s="12">
        <v>0</v>
      </c>
      <c r="AZ500" s="12">
        <v>0</v>
      </c>
      <c r="BA500" s="12" t="s">
        <v>1816</v>
      </c>
      <c r="BB500" s="12"/>
      <c r="BC500" s="12" t="s">
        <v>7331</v>
      </c>
      <c r="BD500" s="12"/>
      <c r="BE500" s="12" t="s">
        <v>2291</v>
      </c>
      <c r="BF500" s="12"/>
      <c r="BG500" s="12"/>
      <c r="BH500" s="12"/>
      <c r="BI500" s="12"/>
      <c r="BJ500" s="12"/>
      <c r="BK500" s="12"/>
      <c r="BL500" s="12" t="s">
        <v>2292</v>
      </c>
      <c r="BM500" s="12" t="s">
        <v>2292</v>
      </c>
      <c r="BN500" s="12" t="s">
        <v>2292</v>
      </c>
      <c r="BO500" s="12" t="s">
        <v>2292</v>
      </c>
      <c r="BP500" s="12"/>
      <c r="BQ500" s="12"/>
      <c r="BR500" s="12"/>
      <c r="BS500" s="12"/>
      <c r="BT500" s="12"/>
      <c r="BU500" s="12"/>
      <c r="BV500" s="12"/>
      <c r="BW500" s="12"/>
      <c r="BX500" s="12"/>
      <c r="BY500" s="18" t="s">
        <v>344</v>
      </c>
      <c r="BZ500" s="13" t="s">
        <v>6170</v>
      </c>
      <c r="CA500" s="13" t="s">
        <v>6170</v>
      </c>
      <c r="CB500" s="13" t="s">
        <v>312</v>
      </c>
      <c r="CC500" s="13"/>
      <c r="CD500" s="13" t="s">
        <v>6198</v>
      </c>
      <c r="CE500" s="13"/>
      <c r="CF500" s="13"/>
    </row>
    <row r="501" spans="1:84" ht="18.600000000000001" customHeight="1" x14ac:dyDescent="0.25">
      <c r="A501" s="60" t="s">
        <v>180</v>
      </c>
      <c r="B501" s="2" t="s">
        <v>335</v>
      </c>
      <c r="C501" s="3" t="s">
        <v>3051</v>
      </c>
      <c r="D501" s="12" t="s">
        <v>3228</v>
      </c>
      <c r="E501" s="12" t="s">
        <v>1817</v>
      </c>
      <c r="F501" s="12" t="s">
        <v>4398</v>
      </c>
      <c r="G501" s="25">
        <v>87765</v>
      </c>
      <c r="H501" s="25">
        <v>52602</v>
      </c>
      <c r="I501" s="25">
        <v>1664</v>
      </c>
      <c r="J501" s="25">
        <v>28680</v>
      </c>
      <c r="K501" s="25">
        <v>156043</v>
      </c>
      <c r="L501" s="25">
        <v>293474</v>
      </c>
      <c r="M501" s="25">
        <v>449517</v>
      </c>
      <c r="N501" s="31">
        <v>0.35</v>
      </c>
      <c r="O501" s="25">
        <v>69710</v>
      </c>
      <c r="P501" s="25">
        <v>8867</v>
      </c>
      <c r="Q501" s="25">
        <v>2369</v>
      </c>
      <c r="R501" s="25">
        <v>195</v>
      </c>
      <c r="S501" s="25">
        <v>236</v>
      </c>
      <c r="T501" s="25">
        <v>1484</v>
      </c>
      <c r="U501" s="61">
        <v>533</v>
      </c>
      <c r="V501" s="58">
        <v>1.6999999999999999E-3</v>
      </c>
      <c r="W501" s="33">
        <v>1.5E-3</v>
      </c>
      <c r="X501" s="33">
        <v>1.4E-3</v>
      </c>
      <c r="Y501" s="12" t="s">
        <v>3926</v>
      </c>
      <c r="Z501" s="33">
        <v>5.4999999999999997E-3</v>
      </c>
      <c r="AA501" s="33">
        <v>1.6000000000000001E-3</v>
      </c>
      <c r="AB501" s="25">
        <v>1585</v>
      </c>
      <c r="AC501" s="25">
        <v>1197</v>
      </c>
      <c r="AD501" s="25">
        <v>158</v>
      </c>
      <c r="AE501" s="25">
        <v>0</v>
      </c>
      <c r="AF501" s="25">
        <v>63</v>
      </c>
      <c r="AG501" s="25">
        <v>114</v>
      </c>
      <c r="AH501" s="25">
        <v>53</v>
      </c>
      <c r="AI501" s="12">
        <v>3.61</v>
      </c>
      <c r="AJ501" s="25">
        <v>36086</v>
      </c>
      <c r="AK501" s="25">
        <v>6309</v>
      </c>
      <c r="AL501" s="33">
        <v>0.21190000000000001</v>
      </c>
      <c r="AM501" s="3" t="s">
        <v>3051</v>
      </c>
      <c r="AN501" s="12" t="s">
        <v>1817</v>
      </c>
      <c r="AO501" s="12" t="s">
        <v>1817</v>
      </c>
      <c r="AP501" s="12" t="str">
        <f>"141487425905186"</f>
        <v>141487425905186</v>
      </c>
      <c r="AQ501" s="12" t="s">
        <v>3228</v>
      </c>
      <c r="AR501" s="12" t="s">
        <v>1822</v>
      </c>
      <c r="AS501" s="12" t="s">
        <v>3052</v>
      </c>
      <c r="AT501" s="12"/>
      <c r="AU501" s="12" t="s">
        <v>1111</v>
      </c>
      <c r="AV501" s="12"/>
      <c r="AW501" s="12"/>
      <c r="AX501" s="12">
        <v>0</v>
      </c>
      <c r="AY501" s="12">
        <v>1024</v>
      </c>
      <c r="AZ501" s="12">
        <v>0</v>
      </c>
      <c r="BA501" s="12" t="s">
        <v>1818</v>
      </c>
      <c r="BB501" s="12" t="s">
        <v>7329</v>
      </c>
      <c r="BC501" s="12" t="s">
        <v>7330</v>
      </c>
      <c r="BD501" s="12"/>
      <c r="BE501" s="12" t="s">
        <v>2291</v>
      </c>
      <c r="BF501" s="12"/>
      <c r="BG501" s="12"/>
      <c r="BH501" s="12"/>
      <c r="BI501" s="12" t="s">
        <v>1819</v>
      </c>
      <c r="BJ501" s="12"/>
      <c r="BK501" s="12"/>
      <c r="BL501" s="12" t="s">
        <v>2292</v>
      </c>
      <c r="BM501" s="12" t="s">
        <v>2292</v>
      </c>
      <c r="BN501" s="12" t="s">
        <v>2292</v>
      </c>
      <c r="BO501" s="12" t="s">
        <v>2291</v>
      </c>
      <c r="BP501" s="12" t="s">
        <v>1820</v>
      </c>
      <c r="BQ501" s="12"/>
      <c r="BR501" s="12"/>
      <c r="BS501" s="12"/>
      <c r="BT501" s="12"/>
      <c r="BU501" s="12"/>
      <c r="BV501" s="12"/>
      <c r="BW501" s="12" t="s">
        <v>1821</v>
      </c>
      <c r="BX501" s="12"/>
      <c r="BY501" s="13" t="s">
        <v>313</v>
      </c>
      <c r="BZ501" s="13" t="s">
        <v>6170</v>
      </c>
      <c r="CA501" s="13" t="s">
        <v>6170</v>
      </c>
      <c r="CB501" s="13" t="s">
        <v>6201</v>
      </c>
      <c r="CC501" s="13"/>
      <c r="CD501" s="13" t="s">
        <v>6198</v>
      </c>
      <c r="CE501" s="13"/>
      <c r="CF501" s="13" t="s">
        <v>6178</v>
      </c>
    </row>
    <row r="502" spans="1:84" ht="18.600000000000001" customHeight="1" x14ac:dyDescent="0.25">
      <c r="A502" s="60" t="s">
        <v>181</v>
      </c>
      <c r="B502" s="2" t="s">
        <v>802</v>
      </c>
      <c r="C502" s="3" t="s">
        <v>3028</v>
      </c>
      <c r="D502" s="12" t="s">
        <v>3324</v>
      </c>
      <c r="E502" s="12" t="s">
        <v>1823</v>
      </c>
      <c r="F502" s="12" t="s">
        <v>4385</v>
      </c>
      <c r="G502" s="25">
        <v>10706142</v>
      </c>
      <c r="H502" s="25">
        <v>7875664</v>
      </c>
      <c r="I502" s="25">
        <v>342979</v>
      </c>
      <c r="J502" s="25">
        <v>983863</v>
      </c>
      <c r="K502" s="25">
        <v>32734216</v>
      </c>
      <c r="L502" s="25">
        <v>20897958</v>
      </c>
      <c r="M502" s="25">
        <v>53632174</v>
      </c>
      <c r="N502" s="31">
        <v>0.61</v>
      </c>
      <c r="O502" s="25">
        <v>1055077</v>
      </c>
      <c r="P502" s="25">
        <v>3441684</v>
      </c>
      <c r="Q502" s="25">
        <v>1357072</v>
      </c>
      <c r="R502" s="25">
        <v>75468</v>
      </c>
      <c r="S502" s="25">
        <v>7275</v>
      </c>
      <c r="T502" s="25">
        <v>54066</v>
      </c>
      <c r="U502" s="61">
        <v>8794</v>
      </c>
      <c r="V502" s="58">
        <v>7.1999999999999998E-3</v>
      </c>
      <c r="W502" s="33">
        <v>8.2000000000000007E-3</v>
      </c>
      <c r="X502" s="33">
        <v>4.0000000000000001E-3</v>
      </c>
      <c r="Y502" s="12" t="s">
        <v>3926</v>
      </c>
      <c r="Z502" s="33">
        <v>6.7999999999999996E-3</v>
      </c>
      <c r="AA502" s="33">
        <v>1.2999999999999999E-3</v>
      </c>
      <c r="AB502" s="25">
        <v>385</v>
      </c>
      <c r="AC502" s="25">
        <v>232</v>
      </c>
      <c r="AD502" s="25">
        <v>55</v>
      </c>
      <c r="AE502" s="25">
        <v>0</v>
      </c>
      <c r="AF502" s="25">
        <v>88</v>
      </c>
      <c r="AG502" s="25">
        <v>8</v>
      </c>
      <c r="AH502" s="25">
        <v>2</v>
      </c>
      <c r="AI502" s="12">
        <v>0.88</v>
      </c>
      <c r="AJ502" s="25">
        <v>4134598</v>
      </c>
      <c r="AK502" s="25">
        <v>465768</v>
      </c>
      <c r="AL502" s="33">
        <v>0.127</v>
      </c>
      <c r="AM502" s="3" t="s">
        <v>3028</v>
      </c>
      <c r="AN502" s="12" t="s">
        <v>1823</v>
      </c>
      <c r="AO502" s="12" t="s">
        <v>1823</v>
      </c>
      <c r="AP502" s="12" t="str">
        <f>"151274568227715"</f>
        <v>151274568227715</v>
      </c>
      <c r="AQ502" s="12" t="s">
        <v>3324</v>
      </c>
      <c r="AR502" s="12" t="s">
        <v>3325</v>
      </c>
      <c r="AS502" s="12" t="s">
        <v>3326</v>
      </c>
      <c r="AT502" s="12"/>
      <c r="AU502" s="12" t="s">
        <v>660</v>
      </c>
      <c r="AV502" s="12"/>
      <c r="AW502" s="12"/>
      <c r="AX502" s="12">
        <v>0</v>
      </c>
      <c r="AY502" s="12">
        <v>67286</v>
      </c>
      <c r="AZ502" s="12">
        <v>0</v>
      </c>
      <c r="BA502" s="12" t="s">
        <v>1824</v>
      </c>
      <c r="BB502" s="12"/>
      <c r="BC502" s="12" t="s">
        <v>7299</v>
      </c>
      <c r="BD502" s="12"/>
      <c r="BE502" s="12" t="s">
        <v>2291</v>
      </c>
      <c r="BF502" s="12"/>
      <c r="BG502" s="12"/>
      <c r="BH502" s="12"/>
      <c r="BI502" s="12" t="s">
        <v>3029</v>
      </c>
      <c r="BJ502" s="12"/>
      <c r="BK502" s="12"/>
      <c r="BL502" s="12" t="s">
        <v>2292</v>
      </c>
      <c r="BM502" s="12" t="s">
        <v>2292</v>
      </c>
      <c r="BN502" s="12" t="s">
        <v>2292</v>
      </c>
      <c r="BO502" s="12" t="s">
        <v>2291</v>
      </c>
      <c r="BP502" s="12"/>
      <c r="BQ502" s="12"/>
      <c r="BR502" s="12"/>
      <c r="BS502" s="12"/>
      <c r="BT502" s="12"/>
      <c r="BU502" s="12"/>
      <c r="BV502" s="12"/>
      <c r="BW502" s="12"/>
      <c r="BX502" s="12"/>
      <c r="BY502" s="13" t="s">
        <v>313</v>
      </c>
      <c r="BZ502" s="13" t="s">
        <v>6174</v>
      </c>
      <c r="CA502" s="13"/>
      <c r="CB502" s="13"/>
      <c r="CC502" s="13"/>
      <c r="CD502" s="13"/>
      <c r="CE502" s="13"/>
      <c r="CF502" s="13"/>
    </row>
    <row r="503" spans="1:84" ht="18.600000000000001" customHeight="1" x14ac:dyDescent="0.25">
      <c r="A503" s="60" t="s">
        <v>181</v>
      </c>
      <c r="B503" s="2" t="s">
        <v>3487</v>
      </c>
      <c r="C503" s="3" t="s">
        <v>3495</v>
      </c>
      <c r="D503" s="12" t="s">
        <v>3489</v>
      </c>
      <c r="E503" s="12" t="s">
        <v>3488</v>
      </c>
      <c r="F503" s="12" t="s">
        <v>4386</v>
      </c>
      <c r="G503" s="25">
        <v>1826633</v>
      </c>
      <c r="H503" s="25">
        <v>1094567</v>
      </c>
      <c r="I503" s="25">
        <v>344585</v>
      </c>
      <c r="J503" s="25">
        <v>199268</v>
      </c>
      <c r="K503" s="25">
        <v>13542216</v>
      </c>
      <c r="L503" s="25">
        <v>7541406</v>
      </c>
      <c r="M503" s="25">
        <v>21083622</v>
      </c>
      <c r="N503" s="31">
        <v>0.64</v>
      </c>
      <c r="O503" s="25">
        <v>215933</v>
      </c>
      <c r="P503" s="25">
        <v>140184</v>
      </c>
      <c r="Q503" s="25">
        <v>84523</v>
      </c>
      <c r="R503" s="25">
        <v>4452</v>
      </c>
      <c r="S503" s="25">
        <v>47755</v>
      </c>
      <c r="T503" s="25">
        <v>11076</v>
      </c>
      <c r="U503" s="61">
        <v>40312</v>
      </c>
      <c r="V503" s="58">
        <v>1.4800000000000001E-2</v>
      </c>
      <c r="W503" s="33">
        <v>1.32E-2</v>
      </c>
      <c r="X503" s="33">
        <v>8.3000000000000001E-3</v>
      </c>
      <c r="Y503" s="33">
        <v>2.4199999999999999E-2</v>
      </c>
      <c r="Z503" s="33">
        <v>1.7999999999999999E-2</v>
      </c>
      <c r="AA503" s="33">
        <v>9.1999999999999998E-3</v>
      </c>
      <c r="AB503" s="25">
        <v>304</v>
      </c>
      <c r="AC503" s="25">
        <v>139</v>
      </c>
      <c r="AD503" s="25">
        <v>21</v>
      </c>
      <c r="AE503" s="25">
        <v>29</v>
      </c>
      <c r="AF503" s="25">
        <v>109</v>
      </c>
      <c r="AG503" s="25">
        <v>5</v>
      </c>
      <c r="AH503" s="25">
        <v>1</v>
      </c>
      <c r="AI503" s="12">
        <v>0.69</v>
      </c>
      <c r="AJ503" s="25">
        <v>458531</v>
      </c>
      <c r="AK503" s="25">
        <v>171316</v>
      </c>
      <c r="AL503" s="33">
        <v>0.59650000000000003</v>
      </c>
      <c r="AM503" s="3" t="s">
        <v>3495</v>
      </c>
      <c r="AN503" s="12" t="s">
        <v>3488</v>
      </c>
      <c r="AO503" s="12" t="s">
        <v>3488</v>
      </c>
      <c r="AP503" s="12" t="str">
        <f>"1348528641830572"</f>
        <v>1348528641830572</v>
      </c>
      <c r="AQ503" s="12" t="s">
        <v>3489</v>
      </c>
      <c r="AR503" s="12" t="s">
        <v>4979</v>
      </c>
      <c r="AS503" s="12"/>
      <c r="AT503" s="12"/>
      <c r="AU503" s="12" t="s">
        <v>309</v>
      </c>
      <c r="AV503" s="12"/>
      <c r="AW503" s="12"/>
      <c r="AX503" s="12">
        <v>0</v>
      </c>
      <c r="AY503" s="12">
        <v>14972</v>
      </c>
      <c r="AZ503" s="12">
        <v>0</v>
      </c>
      <c r="BA503" s="12" t="s">
        <v>3692</v>
      </c>
      <c r="BB503" s="12"/>
      <c r="BC503" s="12" t="s">
        <v>7300</v>
      </c>
      <c r="BD503" s="12"/>
      <c r="BE503" s="12" t="s">
        <v>2291</v>
      </c>
      <c r="BF503" s="12"/>
      <c r="BG503" s="12"/>
      <c r="BH503" s="12"/>
      <c r="BI503" s="12"/>
      <c r="BJ503" s="12"/>
      <c r="BK503" s="12"/>
      <c r="BL503" s="12" t="s">
        <v>2292</v>
      </c>
      <c r="BM503" s="12" t="s">
        <v>2292</v>
      </c>
      <c r="BN503" s="12" t="s">
        <v>2292</v>
      </c>
      <c r="BO503" s="12" t="s">
        <v>2291</v>
      </c>
      <c r="BP503" s="12"/>
      <c r="BQ503" s="12"/>
      <c r="BR503" s="12"/>
      <c r="BS503" s="12"/>
      <c r="BT503" s="12"/>
      <c r="BU503" s="12"/>
      <c r="BV503" s="12"/>
      <c r="BW503" s="12"/>
      <c r="BX503" s="12"/>
      <c r="BY503" s="13" t="s">
        <v>313</v>
      </c>
      <c r="BZ503" s="13" t="s">
        <v>312</v>
      </c>
      <c r="CA503" s="13"/>
      <c r="CB503" s="13"/>
      <c r="CC503" s="13"/>
      <c r="CD503" s="13"/>
      <c r="CE503" s="13"/>
      <c r="CF503" s="13"/>
    </row>
    <row r="504" spans="1:84" ht="18.600000000000001" customHeight="1" x14ac:dyDescent="0.25">
      <c r="A504" s="60" t="s">
        <v>181</v>
      </c>
      <c r="B504" s="2" t="s">
        <v>315</v>
      </c>
      <c r="C504" s="3" t="s">
        <v>3135</v>
      </c>
      <c r="D504" s="12" t="s">
        <v>1825</v>
      </c>
      <c r="E504" s="12" t="s">
        <v>1826</v>
      </c>
      <c r="F504" s="12" t="s">
        <v>3922</v>
      </c>
      <c r="G504" s="25">
        <v>543436</v>
      </c>
      <c r="H504" s="25">
        <v>322227</v>
      </c>
      <c r="I504" s="25">
        <v>59832</v>
      </c>
      <c r="J504" s="25">
        <v>107615</v>
      </c>
      <c r="K504" s="25">
        <v>4549959</v>
      </c>
      <c r="L504" s="25">
        <v>3414651</v>
      </c>
      <c r="M504" s="25">
        <v>7964610</v>
      </c>
      <c r="N504" s="31">
        <v>0.56999999999999995</v>
      </c>
      <c r="O504" s="25">
        <v>311691</v>
      </c>
      <c r="P504" s="25">
        <v>0</v>
      </c>
      <c r="Q504" s="25">
        <v>26332</v>
      </c>
      <c r="R504" s="25">
        <v>1643</v>
      </c>
      <c r="S504" s="25">
        <v>6064</v>
      </c>
      <c r="T504" s="25">
        <v>7359</v>
      </c>
      <c r="U504" s="61">
        <v>12359</v>
      </c>
      <c r="V504" s="58">
        <v>3.7000000000000002E-3</v>
      </c>
      <c r="W504" s="33">
        <v>3.0999999999999999E-3</v>
      </c>
      <c r="X504" s="33">
        <v>2.5000000000000001E-3</v>
      </c>
      <c r="Y504" s="33">
        <v>2.3E-3</v>
      </c>
      <c r="Z504" s="33">
        <v>4.8999999999999998E-3</v>
      </c>
      <c r="AA504" s="33">
        <v>2.9999999999999997E-4</v>
      </c>
      <c r="AB504" s="25">
        <v>305</v>
      </c>
      <c r="AC504" s="25">
        <v>94</v>
      </c>
      <c r="AD504" s="25">
        <v>33</v>
      </c>
      <c r="AE504" s="25">
        <v>1</v>
      </c>
      <c r="AF504" s="25">
        <v>147</v>
      </c>
      <c r="AG504" s="25">
        <v>26</v>
      </c>
      <c r="AH504" s="25">
        <v>4</v>
      </c>
      <c r="AI504" s="12">
        <v>0.69</v>
      </c>
      <c r="AJ504" s="25">
        <v>495806</v>
      </c>
      <c r="AK504" s="25">
        <v>35648</v>
      </c>
      <c r="AL504" s="33">
        <v>7.7499999999999999E-2</v>
      </c>
      <c r="AM504" s="3" t="s">
        <v>3135</v>
      </c>
      <c r="AN504" s="12" t="s">
        <v>1826</v>
      </c>
      <c r="AO504" s="12" t="s">
        <v>1826</v>
      </c>
      <c r="AP504" s="12" t="str">
        <f>"7303343452"</f>
        <v>7303343452</v>
      </c>
      <c r="AQ504" s="12" t="s">
        <v>1825</v>
      </c>
      <c r="AR504" s="12" t="s">
        <v>4495</v>
      </c>
      <c r="AS504" s="12" t="s">
        <v>3517</v>
      </c>
      <c r="AT504" s="12"/>
      <c r="AU504" s="12" t="s">
        <v>324</v>
      </c>
      <c r="AV504" s="12" t="s">
        <v>5731</v>
      </c>
      <c r="AW504" s="12" t="s">
        <v>1827</v>
      </c>
      <c r="AX504" s="12">
        <v>190159</v>
      </c>
      <c r="AY504" s="12">
        <v>6238</v>
      </c>
      <c r="AZ504" s="12">
        <v>0</v>
      </c>
      <c r="BA504" s="12" t="s">
        <v>1828</v>
      </c>
      <c r="BB504" s="12" t="s">
        <v>6251</v>
      </c>
      <c r="BC504" s="12" t="s">
        <v>6252</v>
      </c>
      <c r="BD504" s="12"/>
      <c r="BE504" s="12" t="s">
        <v>2291</v>
      </c>
      <c r="BF504" s="12"/>
      <c r="BG504" s="12"/>
      <c r="BH504" s="12"/>
      <c r="BI504" s="12" t="s">
        <v>3518</v>
      </c>
      <c r="BJ504" s="12"/>
      <c r="BK504" s="12"/>
      <c r="BL504" s="12" t="s">
        <v>2292</v>
      </c>
      <c r="BM504" s="12" t="s">
        <v>2292</v>
      </c>
      <c r="BN504" s="12" t="s">
        <v>2292</v>
      </c>
      <c r="BO504" s="12" t="s">
        <v>2291</v>
      </c>
      <c r="BP504" s="12"/>
      <c r="BQ504" s="12"/>
      <c r="BR504" s="12"/>
      <c r="BS504" s="12"/>
      <c r="BT504" s="12"/>
      <c r="BU504" s="12" t="s">
        <v>326</v>
      </c>
      <c r="BV504" s="12"/>
      <c r="BW504" s="12" t="s">
        <v>4496</v>
      </c>
      <c r="BX504" s="12"/>
      <c r="BY504" s="13" t="s">
        <v>313</v>
      </c>
      <c r="BZ504" s="13" t="s">
        <v>6171</v>
      </c>
      <c r="CA504" s="13"/>
      <c r="CB504" s="13"/>
      <c r="CC504" s="13"/>
      <c r="CD504" s="13"/>
      <c r="CE504" s="13"/>
      <c r="CF504" s="13"/>
    </row>
    <row r="505" spans="1:84" ht="18.600000000000001" customHeight="1" x14ac:dyDescent="0.25">
      <c r="A505" s="60" t="s">
        <v>181</v>
      </c>
      <c r="B505" s="2" t="s">
        <v>315</v>
      </c>
      <c r="C505" s="3" t="s">
        <v>4882</v>
      </c>
      <c r="D505" s="12" t="s">
        <v>1830</v>
      </c>
      <c r="E505" s="12" t="s">
        <v>1829</v>
      </c>
      <c r="F505" s="12" t="s">
        <v>4397</v>
      </c>
      <c r="G505" s="25">
        <v>26697</v>
      </c>
      <c r="H505" s="25">
        <v>9459</v>
      </c>
      <c r="I505" s="25">
        <v>3375</v>
      </c>
      <c r="J505" s="25">
        <v>12280</v>
      </c>
      <c r="K505" s="25">
        <v>474484</v>
      </c>
      <c r="L505" s="25">
        <v>460081</v>
      </c>
      <c r="M505" s="25">
        <v>934565</v>
      </c>
      <c r="N505" s="31">
        <v>0.51</v>
      </c>
      <c r="O505" s="25">
        <v>54583</v>
      </c>
      <c r="P505" s="25">
        <v>0</v>
      </c>
      <c r="Q505" s="25">
        <v>487</v>
      </c>
      <c r="R505" s="25">
        <v>80</v>
      </c>
      <c r="S505" s="25">
        <v>257</v>
      </c>
      <c r="T505" s="25">
        <v>266</v>
      </c>
      <c r="U505" s="61">
        <v>490</v>
      </c>
      <c r="V505" s="58">
        <v>1.4E-3</v>
      </c>
      <c r="W505" s="33">
        <v>5.9999999999999995E-4</v>
      </c>
      <c r="X505" s="33">
        <v>1.5E-3</v>
      </c>
      <c r="Y505" s="12" t="s">
        <v>3926</v>
      </c>
      <c r="Z505" s="33">
        <v>2.3E-3</v>
      </c>
      <c r="AA505" s="12" t="s">
        <v>3926</v>
      </c>
      <c r="AB505" s="25">
        <v>125</v>
      </c>
      <c r="AC505" s="25">
        <v>37</v>
      </c>
      <c r="AD505" s="25">
        <v>30</v>
      </c>
      <c r="AE505" s="25">
        <v>0</v>
      </c>
      <c r="AF505" s="25">
        <v>49</v>
      </c>
      <c r="AG505" s="25">
        <v>9</v>
      </c>
      <c r="AH505" s="25">
        <v>0</v>
      </c>
      <c r="AI505" s="12">
        <v>0.28000000000000003</v>
      </c>
      <c r="AJ505" s="25">
        <v>179118</v>
      </c>
      <c r="AK505" s="25">
        <v>76124</v>
      </c>
      <c r="AL505" s="33">
        <v>0.73909999999999998</v>
      </c>
      <c r="AM505" s="3" t="s">
        <v>4882</v>
      </c>
      <c r="AN505" s="12" t="s">
        <v>5483</v>
      </c>
      <c r="AO505" s="12" t="s">
        <v>1829</v>
      </c>
      <c r="AP505" s="12" t="str">
        <f>"408582579294175"</f>
        <v>408582579294175</v>
      </c>
      <c r="AQ505" s="12" t="s">
        <v>1830</v>
      </c>
      <c r="AR505" s="12" t="s">
        <v>1831</v>
      </c>
      <c r="AS505" s="12" t="s">
        <v>1832</v>
      </c>
      <c r="AT505" s="12"/>
      <c r="AU505" s="12" t="s">
        <v>324</v>
      </c>
      <c r="AV505" s="12"/>
      <c r="AW505" s="12"/>
      <c r="AX505" s="12">
        <v>0</v>
      </c>
      <c r="AY505" s="12">
        <v>2904</v>
      </c>
      <c r="AZ505" s="12">
        <v>0</v>
      </c>
      <c r="BA505" s="12" t="s">
        <v>258</v>
      </c>
      <c r="BB505" s="12"/>
      <c r="BC505" s="12" t="s">
        <v>7327</v>
      </c>
      <c r="BD505" s="12"/>
      <c r="BE505" s="12" t="s">
        <v>2291</v>
      </c>
      <c r="BF505" s="12"/>
      <c r="BG505" s="12"/>
      <c r="BH505" s="12"/>
      <c r="BI505" s="12" t="s">
        <v>3050</v>
      </c>
      <c r="BJ505" s="12"/>
      <c r="BK505" s="12" t="s">
        <v>6883</v>
      </c>
      <c r="BL505" s="12" t="s">
        <v>2292</v>
      </c>
      <c r="BM505" s="12" t="s">
        <v>2292</v>
      </c>
      <c r="BN505" s="12" t="s">
        <v>2292</v>
      </c>
      <c r="BO505" s="12" t="s">
        <v>2291</v>
      </c>
      <c r="BP505" s="12"/>
      <c r="BQ505" s="12"/>
      <c r="BR505" s="12"/>
      <c r="BS505" s="12"/>
      <c r="BT505" s="12"/>
      <c r="BU505" s="12"/>
      <c r="BV505" s="12"/>
      <c r="BW505" s="12"/>
      <c r="BX505" s="12"/>
      <c r="BY505" s="13" t="s">
        <v>313</v>
      </c>
      <c r="BZ505" s="13" t="s">
        <v>312</v>
      </c>
      <c r="CA505" s="13"/>
      <c r="CB505" s="13"/>
      <c r="CC505" s="13"/>
      <c r="CD505" s="13"/>
      <c r="CE505" s="13"/>
      <c r="CF505" s="13"/>
    </row>
    <row r="506" spans="1:84" ht="18.600000000000001" customHeight="1" x14ac:dyDescent="0.25">
      <c r="A506" s="60" t="s">
        <v>181</v>
      </c>
      <c r="B506" s="2" t="s">
        <v>3490</v>
      </c>
      <c r="C506" s="20" t="s">
        <v>3491</v>
      </c>
      <c r="D506" s="12" t="s">
        <v>3493</v>
      </c>
      <c r="E506" s="12" t="s">
        <v>3492</v>
      </c>
      <c r="F506" s="12" t="s">
        <v>3972</v>
      </c>
      <c r="G506" s="25">
        <v>720969</v>
      </c>
      <c r="H506" s="25">
        <v>466117</v>
      </c>
      <c r="I506" s="25">
        <v>109320</v>
      </c>
      <c r="J506" s="25">
        <v>89283</v>
      </c>
      <c r="K506" s="25">
        <v>3913599</v>
      </c>
      <c r="L506" s="25">
        <v>1226007</v>
      </c>
      <c r="M506" s="25">
        <v>5139606</v>
      </c>
      <c r="N506" s="31">
        <v>0.76</v>
      </c>
      <c r="O506" s="25">
        <v>1137293</v>
      </c>
      <c r="P506" s="25">
        <v>25097</v>
      </c>
      <c r="Q506" s="25">
        <v>26110</v>
      </c>
      <c r="R506" s="25">
        <v>2052</v>
      </c>
      <c r="S506" s="25">
        <v>10358</v>
      </c>
      <c r="T506" s="25">
        <v>5906</v>
      </c>
      <c r="U506" s="61">
        <v>11821</v>
      </c>
      <c r="V506" s="58">
        <v>4.8999999999999998E-3</v>
      </c>
      <c r="W506" s="33">
        <v>6.4000000000000003E-3</v>
      </c>
      <c r="X506" s="33">
        <v>3.0000000000000001E-3</v>
      </c>
      <c r="Y506" s="33">
        <v>6.8999999999999999E-3</v>
      </c>
      <c r="Z506" s="33">
        <v>3.8999999999999998E-3</v>
      </c>
      <c r="AA506" s="12" t="s">
        <v>3926</v>
      </c>
      <c r="AB506" s="25">
        <v>268</v>
      </c>
      <c r="AC506" s="25">
        <v>47</v>
      </c>
      <c r="AD506" s="25">
        <v>11</v>
      </c>
      <c r="AE506" s="25">
        <v>75</v>
      </c>
      <c r="AF506" s="25">
        <v>95</v>
      </c>
      <c r="AG506" s="25">
        <v>40</v>
      </c>
      <c r="AH506" s="25">
        <v>0</v>
      </c>
      <c r="AI506" s="12">
        <v>0.61</v>
      </c>
      <c r="AJ506" s="25">
        <v>560015</v>
      </c>
      <c r="AK506" s="25">
        <v>10678</v>
      </c>
      <c r="AL506" s="33">
        <v>1.9400000000000001E-2</v>
      </c>
      <c r="AM506" s="20" t="s">
        <v>3491</v>
      </c>
      <c r="AN506" s="12" t="s">
        <v>3492</v>
      </c>
      <c r="AO506" s="12" t="s">
        <v>3492</v>
      </c>
      <c r="AP506" s="12" t="str">
        <f>"7972991316"</f>
        <v>7972991316</v>
      </c>
      <c r="AQ506" s="12" t="s">
        <v>3493</v>
      </c>
      <c r="AR506" s="12"/>
      <c r="AS506" s="12" t="s">
        <v>5239</v>
      </c>
      <c r="AT506" s="12"/>
      <c r="AU506" s="12" t="s">
        <v>309</v>
      </c>
      <c r="AV506" s="12"/>
      <c r="AW506" s="12"/>
      <c r="AX506" s="12">
        <v>0</v>
      </c>
      <c r="AY506" s="12">
        <v>3770</v>
      </c>
      <c r="AZ506" s="12">
        <v>0</v>
      </c>
      <c r="BA506" s="12" t="s">
        <v>3533</v>
      </c>
      <c r="BB506" s="12"/>
      <c r="BC506" s="12" t="s">
        <v>6348</v>
      </c>
      <c r="BD506" s="12"/>
      <c r="BE506" s="12" t="s">
        <v>2291</v>
      </c>
      <c r="BF506" s="12"/>
      <c r="BG506" s="12"/>
      <c r="BH506" s="12"/>
      <c r="BI506" s="12"/>
      <c r="BJ506" s="12"/>
      <c r="BK506" s="12"/>
      <c r="BL506" s="12" t="s">
        <v>2292</v>
      </c>
      <c r="BM506" s="12" t="s">
        <v>2292</v>
      </c>
      <c r="BN506" s="12" t="s">
        <v>2292</v>
      </c>
      <c r="BO506" s="12" t="s">
        <v>2291</v>
      </c>
      <c r="BP506" s="12"/>
      <c r="BQ506" s="12"/>
      <c r="BR506" s="12"/>
      <c r="BS506" s="12"/>
      <c r="BT506" s="12"/>
      <c r="BU506" s="12"/>
      <c r="BV506" s="12"/>
      <c r="BW506" s="12"/>
      <c r="BX506" s="12"/>
      <c r="BY506" s="13" t="s">
        <v>313</v>
      </c>
      <c r="BZ506" s="13" t="s">
        <v>312</v>
      </c>
      <c r="CA506" s="13"/>
      <c r="CB506" s="13"/>
      <c r="CC506" s="13"/>
      <c r="CD506" s="13"/>
      <c r="CE506" s="13"/>
      <c r="CF506" s="13"/>
    </row>
    <row r="507" spans="1:84" ht="18.600000000000001" customHeight="1" x14ac:dyDescent="0.25">
      <c r="A507" s="60" t="s">
        <v>181</v>
      </c>
      <c r="B507" s="2" t="s">
        <v>335</v>
      </c>
      <c r="C507" s="3" t="s">
        <v>2498</v>
      </c>
      <c r="D507" s="12" t="s">
        <v>1833</v>
      </c>
      <c r="E507" s="12" t="s">
        <v>182</v>
      </c>
      <c r="F507" s="12" t="s">
        <v>4054</v>
      </c>
      <c r="G507" s="25">
        <v>171590</v>
      </c>
      <c r="H507" s="25">
        <v>89659</v>
      </c>
      <c r="I507" s="25">
        <v>9165</v>
      </c>
      <c r="J507" s="25">
        <v>60811</v>
      </c>
      <c r="K507" s="25">
        <v>1830906</v>
      </c>
      <c r="L507" s="25">
        <v>2965939</v>
      </c>
      <c r="M507" s="25">
        <v>4796845</v>
      </c>
      <c r="N507" s="31">
        <v>0.38</v>
      </c>
      <c r="O507" s="25">
        <v>164022</v>
      </c>
      <c r="P507" s="25">
        <v>3110</v>
      </c>
      <c r="Q507" s="25">
        <v>5978</v>
      </c>
      <c r="R507" s="25">
        <v>924</v>
      </c>
      <c r="S507" s="25">
        <v>1024</v>
      </c>
      <c r="T507" s="25">
        <v>2629</v>
      </c>
      <c r="U507" s="61">
        <v>1400</v>
      </c>
      <c r="V507" s="58">
        <v>1.6000000000000001E-3</v>
      </c>
      <c r="W507" s="33">
        <v>1.5E-3</v>
      </c>
      <c r="X507" s="33">
        <v>1.2999999999999999E-3</v>
      </c>
      <c r="Y507" s="33">
        <v>6.9999999999999999E-4</v>
      </c>
      <c r="Z507" s="33">
        <v>1.6999999999999999E-3</v>
      </c>
      <c r="AA507" s="33">
        <v>6.9999999999999999E-4</v>
      </c>
      <c r="AB507" s="25">
        <v>519</v>
      </c>
      <c r="AC507" s="25">
        <v>51</v>
      </c>
      <c r="AD507" s="25">
        <v>46</v>
      </c>
      <c r="AE507" s="25">
        <v>1</v>
      </c>
      <c r="AF507" s="25">
        <v>370</v>
      </c>
      <c r="AG507" s="25">
        <v>44</v>
      </c>
      <c r="AH507" s="25">
        <v>7</v>
      </c>
      <c r="AI507" s="12">
        <v>1.18</v>
      </c>
      <c r="AJ507" s="25">
        <v>221782</v>
      </c>
      <c r="AK507" s="25">
        <v>24436</v>
      </c>
      <c r="AL507" s="33">
        <v>0.12379999999999999</v>
      </c>
      <c r="AM507" s="3" t="s">
        <v>2498</v>
      </c>
      <c r="AN507" s="12" t="s">
        <v>182</v>
      </c>
      <c r="AO507" s="12" t="s">
        <v>182</v>
      </c>
      <c r="AP507" s="12" t="str">
        <f>"284808960629"</f>
        <v>284808960629</v>
      </c>
      <c r="AQ507" s="12" t="s">
        <v>1833</v>
      </c>
      <c r="AR507" s="12" t="s">
        <v>3827</v>
      </c>
      <c r="AS507" s="12" t="s">
        <v>5284</v>
      </c>
      <c r="AT507" s="12"/>
      <c r="AU507" s="12" t="s">
        <v>324</v>
      </c>
      <c r="AV507" s="12"/>
      <c r="AW507" s="12">
        <v>1782</v>
      </c>
      <c r="AX507" s="12">
        <v>6656</v>
      </c>
      <c r="AY507" s="12">
        <v>5305</v>
      </c>
      <c r="AZ507" s="12">
        <v>0</v>
      </c>
      <c r="BA507" s="12" t="s">
        <v>1834</v>
      </c>
      <c r="BB507" s="12" t="s">
        <v>5824</v>
      </c>
      <c r="BC507" s="12" t="s">
        <v>6555</v>
      </c>
      <c r="BD507" s="12"/>
      <c r="BE507" s="12" t="s">
        <v>2291</v>
      </c>
      <c r="BF507" s="12"/>
      <c r="BG507" s="12"/>
      <c r="BH507" s="12"/>
      <c r="BI507" s="12"/>
      <c r="BJ507" s="12" t="s">
        <v>2499</v>
      </c>
      <c r="BK507" s="12"/>
      <c r="BL507" s="12" t="s">
        <v>2292</v>
      </c>
      <c r="BM507" s="12" t="s">
        <v>2292</v>
      </c>
      <c r="BN507" s="12" t="s">
        <v>2292</v>
      </c>
      <c r="BO507" s="12" t="s">
        <v>2291</v>
      </c>
      <c r="BP507" s="12"/>
      <c r="BQ507" s="12"/>
      <c r="BR507" s="12"/>
      <c r="BS507" s="12"/>
      <c r="BT507" s="12">
        <v>2070081500</v>
      </c>
      <c r="BU507" s="12"/>
      <c r="BV507" s="12"/>
      <c r="BW507" s="12" t="s">
        <v>3405</v>
      </c>
      <c r="BX507" s="12"/>
      <c r="BY507" s="13" t="s">
        <v>313</v>
      </c>
      <c r="BZ507" s="13" t="s">
        <v>6174</v>
      </c>
      <c r="CA507" s="13"/>
      <c r="CB507" s="13"/>
      <c r="CC507" s="13"/>
      <c r="CD507" s="13"/>
      <c r="CE507" s="13" t="s">
        <v>6175</v>
      </c>
      <c r="CF507" s="13"/>
    </row>
    <row r="508" spans="1:84" ht="18.600000000000001" customHeight="1" x14ac:dyDescent="0.25">
      <c r="A508" s="60" t="s">
        <v>184</v>
      </c>
      <c r="B508" s="2" t="s">
        <v>1836</v>
      </c>
      <c r="C508" s="3" t="s">
        <v>2512</v>
      </c>
      <c r="D508" s="12" t="s">
        <v>1835</v>
      </c>
      <c r="E508" s="12" t="s">
        <v>1847</v>
      </c>
      <c r="F508" s="12" t="s">
        <v>4062</v>
      </c>
      <c r="G508" s="25">
        <v>3236</v>
      </c>
      <c r="H508" s="25">
        <v>2452</v>
      </c>
      <c r="I508" s="25">
        <v>186</v>
      </c>
      <c r="J508" s="25">
        <v>246</v>
      </c>
      <c r="K508" s="25">
        <v>11084</v>
      </c>
      <c r="L508" s="25">
        <v>8798</v>
      </c>
      <c r="M508" s="25">
        <v>19882</v>
      </c>
      <c r="N508" s="31">
        <v>0.56000000000000005</v>
      </c>
      <c r="O508" s="25">
        <v>547</v>
      </c>
      <c r="P508" s="25">
        <v>0</v>
      </c>
      <c r="Q508" s="25">
        <v>342</v>
      </c>
      <c r="R508" s="25">
        <v>3</v>
      </c>
      <c r="S508" s="25">
        <v>6</v>
      </c>
      <c r="T508" s="25">
        <v>0</v>
      </c>
      <c r="U508" s="61">
        <v>1</v>
      </c>
      <c r="V508" s="58">
        <v>1.5599999999999999E-2</v>
      </c>
      <c r="W508" s="33">
        <v>1.6E-2</v>
      </c>
      <c r="X508" s="33">
        <v>7.4999999999999997E-3</v>
      </c>
      <c r="Y508" s="12" t="s">
        <v>3926</v>
      </c>
      <c r="Z508" s="33">
        <v>2.3300000000000001E-2</v>
      </c>
      <c r="AA508" s="12" t="s">
        <v>3926</v>
      </c>
      <c r="AB508" s="25">
        <v>25</v>
      </c>
      <c r="AC508" s="25">
        <v>18</v>
      </c>
      <c r="AD508" s="25">
        <v>1</v>
      </c>
      <c r="AE508" s="25">
        <v>0</v>
      </c>
      <c r="AF508" s="25">
        <v>4</v>
      </c>
      <c r="AG508" s="25">
        <v>2</v>
      </c>
      <c r="AH508" s="25">
        <v>0</v>
      </c>
      <c r="AI508" s="12">
        <v>0.06</v>
      </c>
      <c r="AJ508" s="25">
        <v>8820</v>
      </c>
      <c r="AK508" s="25">
        <v>962</v>
      </c>
      <c r="AL508" s="33">
        <v>0.12239999999999999</v>
      </c>
      <c r="AM508" s="3" t="s">
        <v>2512</v>
      </c>
      <c r="AN508" s="12" t="s">
        <v>1847</v>
      </c>
      <c r="AO508" s="12" t="s">
        <v>1847</v>
      </c>
      <c r="AP508" s="12" t="str">
        <f>"1451898645041985"</f>
        <v>1451898645041985</v>
      </c>
      <c r="AQ508" s="12" t="s">
        <v>1835</v>
      </c>
      <c r="AR508" s="12" t="s">
        <v>1848</v>
      </c>
      <c r="AS508" s="12" t="s">
        <v>2513</v>
      </c>
      <c r="AT508" s="12"/>
      <c r="AU508" s="12" t="s">
        <v>309</v>
      </c>
      <c r="AV508" s="12"/>
      <c r="AW508" s="12"/>
      <c r="AX508" s="12">
        <v>0</v>
      </c>
      <c r="AY508" s="12">
        <v>51</v>
      </c>
      <c r="AZ508" s="12">
        <v>0</v>
      </c>
      <c r="BA508" s="12" t="s">
        <v>1849</v>
      </c>
      <c r="BB508" s="12"/>
      <c r="BC508" s="12" t="s">
        <v>6577</v>
      </c>
      <c r="BD508" s="12" t="s">
        <v>1850</v>
      </c>
      <c r="BE508" s="12" t="s">
        <v>2291</v>
      </c>
      <c r="BF508" s="12"/>
      <c r="BG508" s="12"/>
      <c r="BH508" s="12"/>
      <c r="BI508" s="12"/>
      <c r="BJ508" s="12"/>
      <c r="BK508" s="12"/>
      <c r="BL508" s="12" t="s">
        <v>2292</v>
      </c>
      <c r="BM508" s="12" t="s">
        <v>2292</v>
      </c>
      <c r="BN508" s="12" t="s">
        <v>2292</v>
      </c>
      <c r="BO508" s="12" t="s">
        <v>2292</v>
      </c>
      <c r="BP508" s="12"/>
      <c r="BQ508" s="12"/>
      <c r="BR508" s="12"/>
      <c r="BS508" s="12"/>
      <c r="BT508" s="12"/>
      <c r="BU508" s="12"/>
      <c r="BV508" s="12"/>
      <c r="BW508" s="12"/>
      <c r="BX508" s="12"/>
      <c r="BY508" s="13" t="s">
        <v>313</v>
      </c>
      <c r="BZ508" s="13" t="s">
        <v>6170</v>
      </c>
      <c r="CA508" s="13" t="s">
        <v>6170</v>
      </c>
      <c r="CB508" s="13" t="s">
        <v>312</v>
      </c>
      <c r="CC508" s="13"/>
      <c r="CD508" s="13" t="s">
        <v>6198</v>
      </c>
      <c r="CE508" s="13"/>
      <c r="CF508" s="13"/>
    </row>
    <row r="509" spans="1:84" ht="18.600000000000001" customHeight="1" x14ac:dyDescent="0.25">
      <c r="A509" s="60" t="s">
        <v>184</v>
      </c>
      <c r="B509" s="2" t="s">
        <v>315</v>
      </c>
      <c r="C509" s="3" t="s">
        <v>2312</v>
      </c>
      <c r="D509" s="12" t="s">
        <v>1838</v>
      </c>
      <c r="E509" s="12" t="s">
        <v>1837</v>
      </c>
      <c r="F509" s="12" t="s">
        <v>3951</v>
      </c>
      <c r="G509" s="25">
        <v>0</v>
      </c>
      <c r="H509" s="25">
        <v>0</v>
      </c>
      <c r="I509" s="25">
        <v>0</v>
      </c>
      <c r="J509" s="25">
        <v>0</v>
      </c>
      <c r="K509" s="25">
        <v>0</v>
      </c>
      <c r="L509" s="25">
        <v>0</v>
      </c>
      <c r="M509" s="25">
        <v>0</v>
      </c>
      <c r="N509" s="31">
        <v>0</v>
      </c>
      <c r="O509" s="25">
        <v>0</v>
      </c>
      <c r="P509" s="25">
        <v>0</v>
      </c>
      <c r="Q509" s="25">
        <v>0</v>
      </c>
      <c r="R509" s="25">
        <v>0</v>
      </c>
      <c r="S509" s="25">
        <v>0</v>
      </c>
      <c r="T509" s="25">
        <v>0</v>
      </c>
      <c r="U509" s="61">
        <v>0</v>
      </c>
      <c r="V509" s="59"/>
      <c r="W509" s="12" t="s">
        <v>3926</v>
      </c>
      <c r="X509" s="12" t="s">
        <v>3926</v>
      </c>
      <c r="Y509" s="12" t="s">
        <v>3926</v>
      </c>
      <c r="Z509" s="12" t="s">
        <v>3926</v>
      </c>
      <c r="AA509" s="12" t="s">
        <v>3926</v>
      </c>
      <c r="AB509" s="25" t="s">
        <v>3927</v>
      </c>
      <c r="AC509" s="25">
        <v>0</v>
      </c>
      <c r="AD509" s="25">
        <v>0</v>
      </c>
      <c r="AE509" s="25">
        <v>0</v>
      </c>
      <c r="AF509" s="25">
        <v>0</v>
      </c>
      <c r="AG509" s="25">
        <v>0</v>
      </c>
      <c r="AH509" s="25">
        <v>0</v>
      </c>
      <c r="AI509" s="12">
        <v>0</v>
      </c>
      <c r="AJ509" s="25">
        <v>8744</v>
      </c>
      <c r="AK509" s="25">
        <v>294</v>
      </c>
      <c r="AL509" s="33">
        <v>3.4799999999999998E-2</v>
      </c>
      <c r="AM509" s="3" t="s">
        <v>2312</v>
      </c>
      <c r="AN509" s="12" t="s">
        <v>1837</v>
      </c>
      <c r="AO509" s="12" t="s">
        <v>1837</v>
      </c>
      <c r="AP509" s="12" t="str">
        <f>"130947963597367"</f>
        <v>130947963597367</v>
      </c>
      <c r="AQ509" s="12" t="s">
        <v>1838</v>
      </c>
      <c r="AR509" s="12" t="s">
        <v>1839</v>
      </c>
      <c r="AS509" s="12" t="s">
        <v>1840</v>
      </c>
      <c r="AT509" s="12"/>
      <c r="AU509" s="12" t="s">
        <v>324</v>
      </c>
      <c r="AV509" s="12"/>
      <c r="AW509" s="12"/>
      <c r="AX509" s="12">
        <v>0</v>
      </c>
      <c r="AY509" s="12">
        <v>44</v>
      </c>
      <c r="AZ509" s="12">
        <v>0</v>
      </c>
      <c r="BA509" s="12" t="s">
        <v>1841</v>
      </c>
      <c r="BB509" s="12" t="s">
        <v>6307</v>
      </c>
      <c r="BC509" s="12" t="s">
        <v>6308</v>
      </c>
      <c r="BD509" s="12"/>
      <c r="BE509" s="12" t="s">
        <v>2291</v>
      </c>
      <c r="BF509" s="12"/>
      <c r="BG509" s="12"/>
      <c r="BH509" s="12"/>
      <c r="BI509" s="12" t="s">
        <v>1842</v>
      </c>
      <c r="BJ509" s="12" t="s">
        <v>2313</v>
      </c>
      <c r="BK509" s="12" t="s">
        <v>6309</v>
      </c>
      <c r="BL509" s="12" t="s">
        <v>2292</v>
      </c>
      <c r="BM509" s="12" t="s">
        <v>2292</v>
      </c>
      <c r="BN509" s="12" t="s">
        <v>2292</v>
      </c>
      <c r="BO509" s="12" t="s">
        <v>2292</v>
      </c>
      <c r="BP509" s="12" t="s">
        <v>1843</v>
      </c>
      <c r="BQ509" s="12"/>
      <c r="BR509" s="12"/>
      <c r="BS509" s="12"/>
      <c r="BT509" s="12" t="s">
        <v>1844</v>
      </c>
      <c r="BU509" s="12"/>
      <c r="BV509" s="12" t="s">
        <v>1845</v>
      </c>
      <c r="BW509" s="12" t="s">
        <v>1846</v>
      </c>
      <c r="BX509" s="12"/>
      <c r="BY509" s="18" t="s">
        <v>344</v>
      </c>
      <c r="BZ509" s="13" t="s">
        <v>312</v>
      </c>
      <c r="CA509" s="13"/>
      <c r="CB509" s="13"/>
      <c r="CC509" s="13"/>
      <c r="CD509" s="13"/>
      <c r="CE509" s="13"/>
      <c r="CF509" s="13"/>
    </row>
    <row r="510" spans="1:84" ht="18.600000000000001" customHeight="1" x14ac:dyDescent="0.25">
      <c r="A510" s="28" t="s">
        <v>185</v>
      </c>
      <c r="B510" s="2" t="s">
        <v>5012</v>
      </c>
      <c r="C510" s="3" t="s">
        <v>6206</v>
      </c>
      <c r="D510" s="12" t="s">
        <v>6205</v>
      </c>
      <c r="E510" s="12"/>
      <c r="F510" s="12" t="s">
        <v>7431</v>
      </c>
      <c r="G510" s="25">
        <v>139335</v>
      </c>
      <c r="H510" s="25">
        <v>62996</v>
      </c>
      <c r="I510" s="25">
        <v>29679</v>
      </c>
      <c r="J510" s="25">
        <v>23205</v>
      </c>
      <c r="K510" s="25">
        <v>718008</v>
      </c>
      <c r="L510" s="25">
        <v>870490</v>
      </c>
      <c r="M510" s="25">
        <v>1588498</v>
      </c>
      <c r="N510" s="31">
        <v>0.45</v>
      </c>
      <c r="O510" s="25">
        <v>41575</v>
      </c>
      <c r="P510" s="25">
        <v>569041</v>
      </c>
      <c r="Q510" s="25">
        <v>15824</v>
      </c>
      <c r="R510" s="25">
        <v>497</v>
      </c>
      <c r="S510" s="25">
        <v>568</v>
      </c>
      <c r="T510" s="25">
        <v>6160</v>
      </c>
      <c r="U510" s="61">
        <v>386</v>
      </c>
      <c r="V510" s="58">
        <v>1.47E-2</v>
      </c>
      <c r="W510" s="33">
        <v>8.8999999999999999E-3</v>
      </c>
      <c r="X510" s="33">
        <v>0</v>
      </c>
      <c r="Y510" s="33">
        <v>4.9700000000000001E-2</v>
      </c>
      <c r="Z510" s="33">
        <v>1.8800000000000001E-2</v>
      </c>
      <c r="AA510" s="33">
        <v>6.7999999999999996E-3</v>
      </c>
      <c r="AB510" s="25">
        <v>529</v>
      </c>
      <c r="AC510" s="25">
        <v>194</v>
      </c>
      <c r="AD510" s="25">
        <v>8</v>
      </c>
      <c r="AE510" s="25">
        <v>25</v>
      </c>
      <c r="AF510" s="25">
        <v>250</v>
      </c>
      <c r="AG510" s="25">
        <v>50</v>
      </c>
      <c r="AH510" s="25">
        <v>2</v>
      </c>
      <c r="AI510" s="12">
        <v>1.21</v>
      </c>
      <c r="AJ510" s="25">
        <v>19789</v>
      </c>
      <c r="AK510" s="25">
        <v>0</v>
      </c>
      <c r="AL510" s="31">
        <v>0</v>
      </c>
      <c r="AM510" s="3" t="s">
        <v>6206</v>
      </c>
      <c r="AN510" s="12" t="s">
        <v>6481</v>
      </c>
      <c r="AO510" s="12"/>
      <c r="AP510" s="12" t="str">
        <f>"61258077512"</f>
        <v>61258077512</v>
      </c>
      <c r="AQ510" s="12" t="s">
        <v>6205</v>
      </c>
      <c r="AR510" s="12" t="s">
        <v>6482</v>
      </c>
      <c r="AS510" s="12"/>
      <c r="AT510" s="12"/>
      <c r="AU510" s="12" t="s">
        <v>424</v>
      </c>
      <c r="AV510" s="12"/>
      <c r="AW510" s="12"/>
      <c r="AX510" s="12">
        <v>0</v>
      </c>
      <c r="AY510" s="12">
        <v>461</v>
      </c>
      <c r="AZ510" s="12">
        <v>0</v>
      </c>
      <c r="BA510" s="12" t="s">
        <v>6483</v>
      </c>
      <c r="BB510" s="12"/>
      <c r="BC510" s="12" t="s">
        <v>6484</v>
      </c>
      <c r="BD510" s="12"/>
      <c r="BE510" s="12" t="s">
        <v>2291</v>
      </c>
      <c r="BF510" s="12"/>
      <c r="BG510" s="12"/>
      <c r="BH510" s="12"/>
      <c r="BI510" s="12"/>
      <c r="BJ510" s="12"/>
      <c r="BK510" s="12"/>
      <c r="BL510" s="12" t="s">
        <v>2292</v>
      </c>
      <c r="BM510" s="12" t="s">
        <v>2292</v>
      </c>
      <c r="BN510" s="12" t="s">
        <v>2292</v>
      </c>
      <c r="BO510" s="12" t="s">
        <v>2292</v>
      </c>
      <c r="BP510" s="12"/>
      <c r="BQ510" s="12"/>
      <c r="BR510" s="12"/>
      <c r="BS510" s="12"/>
      <c r="BT510" s="12" t="s">
        <v>6485</v>
      </c>
      <c r="BU510" s="12"/>
      <c r="BV510" s="12"/>
      <c r="BW510" s="12"/>
      <c r="BX510" s="12"/>
      <c r="BY510" s="2"/>
      <c r="BZ510" s="13" t="s">
        <v>6171</v>
      </c>
      <c r="CA510" s="13"/>
      <c r="CB510" s="13"/>
      <c r="CC510" s="13"/>
      <c r="CD510" s="13"/>
      <c r="CE510" s="13"/>
      <c r="CF510" s="13"/>
    </row>
    <row r="511" spans="1:84" ht="18.600000000000001" customHeight="1" x14ac:dyDescent="0.25">
      <c r="A511" s="60" t="s">
        <v>185</v>
      </c>
      <c r="B511" s="2" t="s">
        <v>5012</v>
      </c>
      <c r="C511" s="3" t="s">
        <v>5013</v>
      </c>
      <c r="D511" s="12" t="s">
        <v>5141</v>
      </c>
      <c r="E511" s="12" t="s">
        <v>5142</v>
      </c>
      <c r="F511" s="12" t="s">
        <v>5143</v>
      </c>
      <c r="G511" s="25">
        <v>4840</v>
      </c>
      <c r="H511" s="25">
        <v>2272</v>
      </c>
      <c r="I511" s="25">
        <v>655</v>
      </c>
      <c r="J511" s="25">
        <v>1415</v>
      </c>
      <c r="K511" s="25">
        <v>32111</v>
      </c>
      <c r="L511" s="25">
        <v>78834</v>
      </c>
      <c r="M511" s="25">
        <v>110945</v>
      </c>
      <c r="N511" s="31">
        <v>0.28999999999999998</v>
      </c>
      <c r="O511" s="25">
        <v>6874</v>
      </c>
      <c r="P511" s="25">
        <v>16540</v>
      </c>
      <c r="Q511" s="25">
        <v>458</v>
      </c>
      <c r="R511" s="25">
        <v>6</v>
      </c>
      <c r="S511" s="25">
        <v>11</v>
      </c>
      <c r="T511" s="25">
        <v>21</v>
      </c>
      <c r="U511" s="61">
        <v>2</v>
      </c>
      <c r="V511" s="58">
        <v>1.09E-2</v>
      </c>
      <c r="W511" s="33">
        <v>7.1999999999999998E-3</v>
      </c>
      <c r="X511" s="33">
        <v>8.9999999999999998E-4</v>
      </c>
      <c r="Y511" s="33">
        <v>7.1999999999999998E-3</v>
      </c>
      <c r="Z511" s="33">
        <v>3.8800000000000001E-2</v>
      </c>
      <c r="AA511" s="33">
        <v>0</v>
      </c>
      <c r="AB511" s="25">
        <v>420</v>
      </c>
      <c r="AC511" s="25">
        <v>225</v>
      </c>
      <c r="AD511" s="25">
        <v>9</v>
      </c>
      <c r="AE511" s="25">
        <v>25</v>
      </c>
      <c r="AF511" s="25">
        <v>76</v>
      </c>
      <c r="AG511" s="25">
        <v>83</v>
      </c>
      <c r="AH511" s="25">
        <v>2</v>
      </c>
      <c r="AI511" s="12">
        <v>0.96</v>
      </c>
      <c r="AJ511" s="25">
        <v>1237</v>
      </c>
      <c r="AK511" s="25">
        <v>0</v>
      </c>
      <c r="AL511" s="31">
        <v>0</v>
      </c>
      <c r="AM511" s="3" t="s">
        <v>5013</v>
      </c>
      <c r="AN511" s="12" t="s">
        <v>5142</v>
      </c>
      <c r="AO511" s="12" t="s">
        <v>5142</v>
      </c>
      <c r="AP511" s="12" t="str">
        <f>"434533173589048"</f>
        <v>434533173589048</v>
      </c>
      <c r="AQ511" s="12" t="s">
        <v>5141</v>
      </c>
      <c r="AR511" s="12" t="s">
        <v>5399</v>
      </c>
      <c r="AS511" s="12" t="s">
        <v>5400</v>
      </c>
      <c r="AT511" s="12"/>
      <c r="AU511" s="12" t="s">
        <v>324</v>
      </c>
      <c r="AV511" s="12" t="s">
        <v>5731</v>
      </c>
      <c r="AW511" s="12"/>
      <c r="AX511" s="12">
        <v>3</v>
      </c>
      <c r="AY511" s="12">
        <v>91</v>
      </c>
      <c r="AZ511" s="12">
        <v>3</v>
      </c>
      <c r="BA511" s="12" t="s">
        <v>5401</v>
      </c>
      <c r="BB511" s="12" t="s">
        <v>6988</v>
      </c>
      <c r="BC511" s="12" t="s">
        <v>6989</v>
      </c>
      <c r="BD511" s="12"/>
      <c r="BE511" s="12" t="s">
        <v>2291</v>
      </c>
      <c r="BF511" s="12"/>
      <c r="BG511" s="12"/>
      <c r="BH511" s="12"/>
      <c r="BI511" s="12" t="s">
        <v>5402</v>
      </c>
      <c r="BJ511" s="12"/>
      <c r="BK511" s="12" t="s">
        <v>6512</v>
      </c>
      <c r="BL511" s="12" t="s">
        <v>2292</v>
      </c>
      <c r="BM511" s="12" t="s">
        <v>2292</v>
      </c>
      <c r="BN511" s="12" t="s">
        <v>2292</v>
      </c>
      <c r="BO511" s="12" t="s">
        <v>2292</v>
      </c>
      <c r="BP511" s="12"/>
      <c r="BQ511" s="12"/>
      <c r="BR511" s="12"/>
      <c r="BS511" s="12"/>
      <c r="BT511" s="12" t="s">
        <v>5403</v>
      </c>
      <c r="BU511" s="12" t="s">
        <v>326</v>
      </c>
      <c r="BV511" s="12"/>
      <c r="BW511" s="12"/>
      <c r="BX511" s="12"/>
      <c r="BY511" s="13" t="s">
        <v>313</v>
      </c>
      <c r="BZ511" s="13" t="s">
        <v>312</v>
      </c>
      <c r="CA511" s="13"/>
      <c r="CB511" s="13"/>
      <c r="CC511" s="13"/>
      <c r="CD511" s="13"/>
      <c r="CE511" s="13"/>
      <c r="CF511" s="13"/>
    </row>
    <row r="512" spans="1:84" ht="18.600000000000001" customHeight="1" x14ac:dyDescent="0.25">
      <c r="A512" s="60" t="s">
        <v>185</v>
      </c>
      <c r="B512" s="13" t="s">
        <v>5060</v>
      </c>
      <c r="C512" s="3" t="s">
        <v>5061</v>
      </c>
      <c r="D512" s="12" t="s">
        <v>5059</v>
      </c>
      <c r="E512" s="12" t="s">
        <v>5094</v>
      </c>
      <c r="F512" s="12" t="s">
        <v>5095</v>
      </c>
      <c r="G512" s="25">
        <v>1429</v>
      </c>
      <c r="H512" s="25">
        <v>1109</v>
      </c>
      <c r="I512" s="25">
        <v>91</v>
      </c>
      <c r="J512" s="25">
        <v>78</v>
      </c>
      <c r="K512" s="25">
        <v>951</v>
      </c>
      <c r="L512" s="25">
        <v>339</v>
      </c>
      <c r="M512" s="25">
        <v>1290</v>
      </c>
      <c r="N512" s="31">
        <v>0.74</v>
      </c>
      <c r="O512" s="25">
        <v>569</v>
      </c>
      <c r="P512" s="25">
        <v>0</v>
      </c>
      <c r="Q512" s="25">
        <v>151</v>
      </c>
      <c r="R512" s="25">
        <v>0</v>
      </c>
      <c r="S512" s="25">
        <v>0</v>
      </c>
      <c r="T512" s="25">
        <v>0</v>
      </c>
      <c r="U512" s="61">
        <v>0</v>
      </c>
      <c r="V512" s="58">
        <v>2.9000000000000001E-2</v>
      </c>
      <c r="W512" s="33">
        <v>0</v>
      </c>
      <c r="X512" s="33">
        <v>0</v>
      </c>
      <c r="Y512" s="33">
        <v>0</v>
      </c>
      <c r="Z512" s="33">
        <v>2.9000000000000001E-2</v>
      </c>
      <c r="AA512" s="12" t="s">
        <v>3926</v>
      </c>
      <c r="AB512" s="25">
        <v>115</v>
      </c>
      <c r="AC512" s="25">
        <v>96</v>
      </c>
      <c r="AD512" s="25">
        <v>2</v>
      </c>
      <c r="AE512" s="25">
        <v>4</v>
      </c>
      <c r="AF512" s="25">
        <v>5</v>
      </c>
      <c r="AG512" s="25">
        <v>8</v>
      </c>
      <c r="AH512" s="25">
        <v>0</v>
      </c>
      <c r="AI512" s="12">
        <v>0.26</v>
      </c>
      <c r="AJ512" s="25">
        <v>419</v>
      </c>
      <c r="AK512" s="25">
        <v>0</v>
      </c>
      <c r="AL512" s="31">
        <v>0</v>
      </c>
      <c r="AM512" s="3" t="s">
        <v>5061</v>
      </c>
      <c r="AN512" s="12" t="s">
        <v>5094</v>
      </c>
      <c r="AO512" s="12" t="s">
        <v>5094</v>
      </c>
      <c r="AP512" s="12" t="str">
        <f>"1827285890846263"</f>
        <v>1827285890846263</v>
      </c>
      <c r="AQ512" s="12" t="s">
        <v>5059</v>
      </c>
      <c r="AR512" s="12" t="s">
        <v>5252</v>
      </c>
      <c r="AS512" s="12" t="s">
        <v>5253</v>
      </c>
      <c r="AT512" s="12" t="s">
        <v>5254</v>
      </c>
      <c r="AU512" s="12" t="s">
        <v>424</v>
      </c>
      <c r="AV512" s="12"/>
      <c r="AW512" s="12"/>
      <c r="AX512" s="12">
        <v>0</v>
      </c>
      <c r="AY512" s="12">
        <v>0</v>
      </c>
      <c r="AZ512" s="12">
        <v>0</v>
      </c>
      <c r="BA512" s="12" t="s">
        <v>5255</v>
      </c>
      <c r="BB512" s="12"/>
      <c r="BC512" s="12" t="s">
        <v>6439</v>
      </c>
      <c r="BD512" s="12" t="s">
        <v>5256</v>
      </c>
      <c r="BE512" s="12" t="s">
        <v>2291</v>
      </c>
      <c r="BF512" s="12"/>
      <c r="BG512" s="12"/>
      <c r="BH512" s="12"/>
      <c r="BI512" s="12"/>
      <c r="BJ512" s="12"/>
      <c r="BK512" s="12"/>
      <c r="BL512" s="12" t="s">
        <v>2292</v>
      </c>
      <c r="BM512" s="12" t="s">
        <v>2292</v>
      </c>
      <c r="BN512" s="12" t="s">
        <v>2292</v>
      </c>
      <c r="BO512" s="12" t="s">
        <v>2292</v>
      </c>
      <c r="BP512" s="12"/>
      <c r="BQ512" s="12"/>
      <c r="BR512" s="12"/>
      <c r="BS512" s="12"/>
      <c r="BT512" s="12"/>
      <c r="BU512" s="12"/>
      <c r="BV512" s="12"/>
      <c r="BW512" s="12"/>
      <c r="BX512" s="12"/>
      <c r="BY512" s="13" t="s">
        <v>313</v>
      </c>
      <c r="BZ512" s="13" t="s">
        <v>6171</v>
      </c>
      <c r="CA512" s="13" t="s">
        <v>6170</v>
      </c>
      <c r="CB512" s="13" t="s">
        <v>6201</v>
      </c>
      <c r="CC512" s="13"/>
      <c r="CD512" s="13" t="s">
        <v>6198</v>
      </c>
      <c r="CE512" s="13"/>
      <c r="CF512" s="13"/>
    </row>
    <row r="513" spans="1:84" ht="18.600000000000001" customHeight="1" x14ac:dyDescent="0.25">
      <c r="A513" s="63" t="s">
        <v>186</v>
      </c>
      <c r="B513" s="27" t="s">
        <v>1853</v>
      </c>
      <c r="C513" s="3" t="s">
        <v>2579</v>
      </c>
      <c r="D513" s="12" t="s">
        <v>1851</v>
      </c>
      <c r="E513" s="12"/>
      <c r="F513" s="12" t="s">
        <v>4450</v>
      </c>
      <c r="G513" s="25">
        <v>642</v>
      </c>
      <c r="H513" s="25">
        <v>358</v>
      </c>
      <c r="I513" s="25">
        <v>93</v>
      </c>
      <c r="J513" s="25">
        <v>151</v>
      </c>
      <c r="K513" s="25">
        <v>0</v>
      </c>
      <c r="L513" s="25">
        <v>0</v>
      </c>
      <c r="M513" s="25">
        <v>0</v>
      </c>
      <c r="N513" s="31">
        <v>0</v>
      </c>
      <c r="O513" s="25">
        <v>1179</v>
      </c>
      <c r="P513" s="25">
        <v>0</v>
      </c>
      <c r="Q513" s="25">
        <v>31</v>
      </c>
      <c r="R513" s="25">
        <v>2</v>
      </c>
      <c r="S513" s="25">
        <v>7</v>
      </c>
      <c r="T513" s="25">
        <v>0</v>
      </c>
      <c r="U513" s="61">
        <v>0</v>
      </c>
      <c r="V513" s="58">
        <v>2.5999999999999999E-3</v>
      </c>
      <c r="W513" s="33">
        <v>1.6999999999999999E-3</v>
      </c>
      <c r="X513" s="33">
        <v>2.5999999999999999E-3</v>
      </c>
      <c r="Y513" s="33">
        <v>5.1000000000000004E-3</v>
      </c>
      <c r="Z513" s="12" t="s">
        <v>3926</v>
      </c>
      <c r="AA513" s="33">
        <v>2.5999999999999999E-3</v>
      </c>
      <c r="AB513" s="25">
        <v>163</v>
      </c>
      <c r="AC513" s="25">
        <v>9</v>
      </c>
      <c r="AD513" s="25">
        <v>91</v>
      </c>
      <c r="AE513" s="25">
        <v>46</v>
      </c>
      <c r="AF513" s="25">
        <v>0</v>
      </c>
      <c r="AG513" s="25">
        <v>16</v>
      </c>
      <c r="AH513" s="25">
        <v>1</v>
      </c>
      <c r="AI513" s="12">
        <v>0.37</v>
      </c>
      <c r="AJ513" s="25">
        <v>1215</v>
      </c>
      <c r="AK513" s="25">
        <v>90</v>
      </c>
      <c r="AL513" s="33">
        <v>0.08</v>
      </c>
      <c r="AM513" s="3" t="s">
        <v>2579</v>
      </c>
      <c r="AN513" s="12" t="s">
        <v>5312</v>
      </c>
      <c r="AO513" s="12"/>
      <c r="AP513" s="12" t="str">
        <f>"161612180563912"</f>
        <v>161612180563912</v>
      </c>
      <c r="AQ513" s="12" t="s">
        <v>1851</v>
      </c>
      <c r="AR513" s="12"/>
      <c r="AS513" s="12"/>
      <c r="AT513" s="12" t="s">
        <v>2580</v>
      </c>
      <c r="AU513" s="12" t="s">
        <v>309</v>
      </c>
      <c r="AV513" s="12"/>
      <c r="AW513" s="12"/>
      <c r="AX513" s="12">
        <v>0</v>
      </c>
      <c r="AY513" s="12">
        <v>175</v>
      </c>
      <c r="AZ513" s="12">
        <v>0</v>
      </c>
      <c r="BA513" s="12" t="s">
        <v>1852</v>
      </c>
      <c r="BB513" s="12"/>
      <c r="BC513" s="12" t="s">
        <v>6654</v>
      </c>
      <c r="BD513" s="12"/>
      <c r="BE513" s="12" t="s">
        <v>2291</v>
      </c>
      <c r="BF513" s="12"/>
      <c r="BG513" s="12"/>
      <c r="BH513" s="12"/>
      <c r="BI513" s="12"/>
      <c r="BJ513" s="12"/>
      <c r="BK513" s="12"/>
      <c r="BL513" s="12" t="s">
        <v>2292</v>
      </c>
      <c r="BM513" s="12" t="s">
        <v>2292</v>
      </c>
      <c r="BN513" s="12" t="s">
        <v>2292</v>
      </c>
      <c r="BO513" s="12" t="s">
        <v>2292</v>
      </c>
      <c r="BP513" s="12"/>
      <c r="BQ513" s="12"/>
      <c r="BR513" s="12"/>
      <c r="BS513" s="12"/>
      <c r="BT513" s="12"/>
      <c r="BU513" s="12"/>
      <c r="BV513" s="12"/>
      <c r="BW513" s="12"/>
      <c r="BX513" s="12"/>
      <c r="BY513" s="13" t="s">
        <v>313</v>
      </c>
      <c r="BZ513" s="13" t="s">
        <v>6170</v>
      </c>
      <c r="CA513" s="13" t="s">
        <v>6170</v>
      </c>
      <c r="CB513" s="13" t="s">
        <v>312</v>
      </c>
      <c r="CC513" s="13"/>
      <c r="CD513" s="13" t="s">
        <v>6198</v>
      </c>
      <c r="CE513" s="13"/>
      <c r="CF513" s="13"/>
    </row>
    <row r="514" spans="1:84" ht="18.600000000000001" customHeight="1" x14ac:dyDescent="0.25">
      <c r="A514" s="35" t="s">
        <v>186</v>
      </c>
      <c r="B514" s="13" t="s">
        <v>315</v>
      </c>
      <c r="C514" s="3" t="s">
        <v>2517</v>
      </c>
      <c r="D514" s="12" t="s">
        <v>1854</v>
      </c>
      <c r="E514" s="12" t="s">
        <v>187</v>
      </c>
      <c r="F514" s="12" t="s">
        <v>4068</v>
      </c>
      <c r="G514" s="25">
        <v>34602</v>
      </c>
      <c r="H514" s="25">
        <v>13157</v>
      </c>
      <c r="I514" s="25">
        <v>2107</v>
      </c>
      <c r="J514" s="25">
        <v>17581</v>
      </c>
      <c r="K514" s="25">
        <v>227776</v>
      </c>
      <c r="L514" s="25">
        <v>203667</v>
      </c>
      <c r="M514" s="25">
        <v>431443</v>
      </c>
      <c r="N514" s="31">
        <v>0.53</v>
      </c>
      <c r="O514" s="25">
        <v>8196</v>
      </c>
      <c r="P514" s="25">
        <v>10347</v>
      </c>
      <c r="Q514" s="25">
        <v>1284</v>
      </c>
      <c r="R514" s="25">
        <v>170</v>
      </c>
      <c r="S514" s="25">
        <v>102</v>
      </c>
      <c r="T514" s="25">
        <v>151</v>
      </c>
      <c r="U514" s="61">
        <v>50</v>
      </c>
      <c r="V514" s="58">
        <v>2E-3</v>
      </c>
      <c r="W514" s="33">
        <v>1.8E-3</v>
      </c>
      <c r="X514" s="33">
        <v>1.1999999999999999E-3</v>
      </c>
      <c r="Y514" s="33">
        <v>5.0000000000000001E-4</v>
      </c>
      <c r="Z514" s="33">
        <v>5.0000000000000001E-3</v>
      </c>
      <c r="AA514" s="33">
        <v>2.9999999999999997E-4</v>
      </c>
      <c r="AB514" s="25">
        <v>2455</v>
      </c>
      <c r="AC514" s="25">
        <v>642</v>
      </c>
      <c r="AD514" s="25">
        <v>1423</v>
      </c>
      <c r="AE514" s="25">
        <v>6</v>
      </c>
      <c r="AF514" s="25">
        <v>350</v>
      </c>
      <c r="AG514" s="25">
        <v>25</v>
      </c>
      <c r="AH514" s="25">
        <v>9</v>
      </c>
      <c r="AI514" s="12">
        <v>5.59</v>
      </c>
      <c r="AJ514" s="25">
        <v>9433</v>
      </c>
      <c r="AK514" s="25">
        <v>4449</v>
      </c>
      <c r="AL514" s="33">
        <v>0.89270000000000005</v>
      </c>
      <c r="AM514" s="3" t="s">
        <v>2517</v>
      </c>
      <c r="AN514" s="12" t="s">
        <v>187</v>
      </c>
      <c r="AO514" s="12" t="s">
        <v>187</v>
      </c>
      <c r="AP514" s="12" t="str">
        <f>"271334199698066"</f>
        <v>271334199698066</v>
      </c>
      <c r="AQ514" s="12" t="s">
        <v>1854</v>
      </c>
      <c r="AR514" s="12" t="s">
        <v>1855</v>
      </c>
      <c r="AS514" s="12" t="s">
        <v>2518</v>
      </c>
      <c r="AT514" s="12"/>
      <c r="AU514" s="12" t="s">
        <v>324</v>
      </c>
      <c r="AV514" s="12"/>
      <c r="AW514" s="12"/>
      <c r="AX514" s="12">
        <v>0</v>
      </c>
      <c r="AY514" s="12">
        <v>1634</v>
      </c>
      <c r="AZ514" s="12">
        <v>0</v>
      </c>
      <c r="BA514" s="12" t="s">
        <v>1856</v>
      </c>
      <c r="BB514" s="12" t="s">
        <v>5828</v>
      </c>
      <c r="BC514" s="12" t="s">
        <v>6583</v>
      </c>
      <c r="BD514" s="12"/>
      <c r="BE514" s="12" t="s">
        <v>2291</v>
      </c>
      <c r="BF514" s="12"/>
      <c r="BG514" s="12"/>
      <c r="BH514" s="12"/>
      <c r="BI514" s="12" t="s">
        <v>2519</v>
      </c>
      <c r="BJ514" s="12" t="s">
        <v>2520</v>
      </c>
      <c r="BK514" s="12" t="s">
        <v>6584</v>
      </c>
      <c r="BL514" s="12" t="s">
        <v>2292</v>
      </c>
      <c r="BM514" s="12" t="s">
        <v>2292</v>
      </c>
      <c r="BN514" s="12" t="s">
        <v>2292</v>
      </c>
      <c r="BO514" s="12" t="s">
        <v>2292</v>
      </c>
      <c r="BP514" s="12" t="s">
        <v>2521</v>
      </c>
      <c r="BQ514" s="12"/>
      <c r="BR514" s="12"/>
      <c r="BS514" s="12"/>
      <c r="BT514" s="12" t="s">
        <v>5295</v>
      </c>
      <c r="BU514" s="12"/>
      <c r="BV514" s="12"/>
      <c r="BW514" s="12" t="s">
        <v>5296</v>
      </c>
      <c r="BX514" s="12"/>
      <c r="BY514" s="13" t="s">
        <v>313</v>
      </c>
      <c r="BZ514" s="13" t="s">
        <v>6170</v>
      </c>
      <c r="CA514" s="13" t="s">
        <v>6170</v>
      </c>
      <c r="CB514" s="13" t="s">
        <v>6197</v>
      </c>
      <c r="CC514" s="13"/>
      <c r="CD514" s="13" t="s">
        <v>6198</v>
      </c>
      <c r="CE514" s="13"/>
      <c r="CF514" s="13"/>
    </row>
    <row r="515" spans="1:84" ht="18.600000000000001" customHeight="1" x14ac:dyDescent="0.25">
      <c r="A515" s="60" t="s">
        <v>188</v>
      </c>
      <c r="B515" s="2" t="s">
        <v>1863</v>
      </c>
      <c r="C515" s="3" t="s">
        <v>3885</v>
      </c>
      <c r="D515" s="12" t="s">
        <v>1857</v>
      </c>
      <c r="E515" s="12"/>
      <c r="F515" s="12" t="s">
        <v>4463</v>
      </c>
      <c r="G515" s="25">
        <v>0</v>
      </c>
      <c r="H515" s="25">
        <v>0</v>
      </c>
      <c r="I515" s="25">
        <v>0</v>
      </c>
      <c r="J515" s="25">
        <v>0</v>
      </c>
      <c r="K515" s="25">
        <v>0</v>
      </c>
      <c r="L515" s="25">
        <v>0</v>
      </c>
      <c r="M515" s="25">
        <v>0</v>
      </c>
      <c r="N515" s="31">
        <v>0</v>
      </c>
      <c r="O515" s="25">
        <v>0</v>
      </c>
      <c r="P515" s="25">
        <v>0</v>
      </c>
      <c r="Q515" s="25">
        <v>0</v>
      </c>
      <c r="R515" s="25">
        <v>0</v>
      </c>
      <c r="S515" s="25">
        <v>0</v>
      </c>
      <c r="T515" s="25">
        <v>0</v>
      </c>
      <c r="U515" s="61">
        <v>0</v>
      </c>
      <c r="V515" s="59"/>
      <c r="W515" s="12" t="s">
        <v>3926</v>
      </c>
      <c r="X515" s="12" t="s">
        <v>3926</v>
      </c>
      <c r="Y515" s="12" t="s">
        <v>3926</v>
      </c>
      <c r="Z515" s="12" t="s">
        <v>3926</v>
      </c>
      <c r="AA515" s="12" t="s">
        <v>3926</v>
      </c>
      <c r="AB515" s="25" t="s">
        <v>3927</v>
      </c>
      <c r="AC515" s="25">
        <v>0</v>
      </c>
      <c r="AD515" s="25">
        <v>0</v>
      </c>
      <c r="AE515" s="25">
        <v>0</v>
      </c>
      <c r="AF515" s="25">
        <v>0</v>
      </c>
      <c r="AG515" s="25">
        <v>0</v>
      </c>
      <c r="AH515" s="25">
        <v>0</v>
      </c>
      <c r="AI515" s="12">
        <v>0</v>
      </c>
      <c r="AJ515" s="25">
        <v>704</v>
      </c>
      <c r="AK515" s="25">
        <v>30</v>
      </c>
      <c r="AL515" s="33">
        <v>4.4499999999999998E-2</v>
      </c>
      <c r="AM515" s="3" t="s">
        <v>3885</v>
      </c>
      <c r="AN515" s="12" t="s">
        <v>5398</v>
      </c>
      <c r="AO515" s="12"/>
      <c r="AP515" s="12" t="str">
        <f>"317057388365804"</f>
        <v>317057388365804</v>
      </c>
      <c r="AQ515" s="12" t="s">
        <v>1857</v>
      </c>
      <c r="AR515" s="12" t="s">
        <v>1858</v>
      </c>
      <c r="AS515" s="12" t="s">
        <v>1859</v>
      </c>
      <c r="AT515" s="12"/>
      <c r="AU515" s="12" t="s">
        <v>324</v>
      </c>
      <c r="AV515" s="12"/>
      <c r="AW515" s="12"/>
      <c r="AX515" s="12">
        <v>0</v>
      </c>
      <c r="AY515" s="12">
        <v>4</v>
      </c>
      <c r="AZ515" s="12">
        <v>0</v>
      </c>
      <c r="BA515" s="12" t="s">
        <v>259</v>
      </c>
      <c r="BB515" s="12" t="s">
        <v>5946</v>
      </c>
      <c r="BC515" s="12" t="s">
        <v>6987</v>
      </c>
      <c r="BD515" s="12"/>
      <c r="BE515" s="12" t="s">
        <v>2291</v>
      </c>
      <c r="BF515" s="12"/>
      <c r="BG515" s="12"/>
      <c r="BH515" s="12"/>
      <c r="BI515" s="12"/>
      <c r="BJ515" s="12"/>
      <c r="BK515" s="12" t="s">
        <v>6598</v>
      </c>
      <c r="BL515" s="12" t="s">
        <v>2292</v>
      </c>
      <c r="BM515" s="12" t="s">
        <v>2292</v>
      </c>
      <c r="BN515" s="12" t="s">
        <v>2292</v>
      </c>
      <c r="BO515" s="12" t="s">
        <v>2292</v>
      </c>
      <c r="BP515" s="12"/>
      <c r="BQ515" s="12"/>
      <c r="BR515" s="12"/>
      <c r="BS515" s="12"/>
      <c r="BT515" s="12" t="s">
        <v>1860</v>
      </c>
      <c r="BU515" s="12"/>
      <c r="BV515" s="12"/>
      <c r="BW515" s="12" t="s">
        <v>1861</v>
      </c>
      <c r="BX515" s="12"/>
      <c r="BY515" s="14" t="s">
        <v>1862</v>
      </c>
      <c r="BZ515" s="13" t="s">
        <v>6170</v>
      </c>
      <c r="CA515" s="13" t="s">
        <v>6170</v>
      </c>
      <c r="CB515" s="13" t="s">
        <v>312</v>
      </c>
      <c r="CC515" s="13"/>
      <c r="CD515" s="13" t="s">
        <v>6198</v>
      </c>
      <c r="CE515" s="13"/>
      <c r="CF515" s="13"/>
    </row>
    <row r="516" spans="1:84" ht="18.600000000000001" customHeight="1" x14ac:dyDescent="0.25">
      <c r="A516" s="60" t="s">
        <v>188</v>
      </c>
      <c r="B516" s="2" t="s">
        <v>315</v>
      </c>
      <c r="C516" s="3" t="s">
        <v>2530</v>
      </c>
      <c r="D516" s="12" t="s">
        <v>1865</v>
      </c>
      <c r="E516" s="12" t="s">
        <v>1864</v>
      </c>
      <c r="F516" s="12" t="s">
        <v>4076</v>
      </c>
      <c r="G516" s="25">
        <v>58231</v>
      </c>
      <c r="H516" s="25">
        <v>33890</v>
      </c>
      <c r="I516" s="25">
        <v>3573</v>
      </c>
      <c r="J516" s="25">
        <v>16792</v>
      </c>
      <c r="K516" s="25">
        <v>573609</v>
      </c>
      <c r="L516" s="25">
        <v>336998</v>
      </c>
      <c r="M516" s="25">
        <v>910607</v>
      </c>
      <c r="N516" s="31">
        <v>0.63</v>
      </c>
      <c r="O516" s="25">
        <v>10759</v>
      </c>
      <c r="P516" s="25">
        <v>8962</v>
      </c>
      <c r="Q516" s="25">
        <v>2710</v>
      </c>
      <c r="R516" s="25">
        <v>708</v>
      </c>
      <c r="S516" s="25">
        <v>299</v>
      </c>
      <c r="T516" s="25">
        <v>114</v>
      </c>
      <c r="U516" s="61">
        <v>143</v>
      </c>
      <c r="V516" s="58">
        <v>3.0000000000000001E-3</v>
      </c>
      <c r="W516" s="33">
        <v>2.2000000000000001E-3</v>
      </c>
      <c r="X516" s="33">
        <v>2.2000000000000001E-3</v>
      </c>
      <c r="Y516" s="33">
        <v>1E-3</v>
      </c>
      <c r="Z516" s="33">
        <v>8.0000000000000002E-3</v>
      </c>
      <c r="AA516" s="33">
        <v>8.0000000000000004E-4</v>
      </c>
      <c r="AB516" s="25">
        <v>1297</v>
      </c>
      <c r="AC516" s="25">
        <v>912</v>
      </c>
      <c r="AD516" s="25">
        <v>106</v>
      </c>
      <c r="AE516" s="25">
        <v>10</v>
      </c>
      <c r="AF516" s="25">
        <v>221</v>
      </c>
      <c r="AG516" s="25">
        <v>29</v>
      </c>
      <c r="AH516" s="25">
        <v>19</v>
      </c>
      <c r="AI516" s="12">
        <v>2.95</v>
      </c>
      <c r="AJ516" s="25">
        <v>18213</v>
      </c>
      <c r="AK516" s="25">
        <v>7704</v>
      </c>
      <c r="AL516" s="33">
        <v>0.73309999999999997</v>
      </c>
      <c r="AM516" s="3" t="s">
        <v>2530</v>
      </c>
      <c r="AN516" s="12" t="s">
        <v>1864</v>
      </c>
      <c r="AO516" s="12" t="s">
        <v>1864</v>
      </c>
      <c r="AP516" s="12" t="str">
        <f>"149350998433745"</f>
        <v>149350998433745</v>
      </c>
      <c r="AQ516" s="12" t="s">
        <v>1865</v>
      </c>
      <c r="AR516" s="12" t="s">
        <v>1858</v>
      </c>
      <c r="AS516" s="12" t="s">
        <v>4813</v>
      </c>
      <c r="AT516" s="12"/>
      <c r="AU516" s="12" t="s">
        <v>5567</v>
      </c>
      <c r="AV516" s="12" t="s">
        <v>5969</v>
      </c>
      <c r="AW516" s="12"/>
      <c r="AX516" s="12">
        <v>28</v>
      </c>
      <c r="AY516" s="12">
        <v>397</v>
      </c>
      <c r="AZ516" s="12">
        <v>28</v>
      </c>
      <c r="BA516" s="12" t="s">
        <v>1866</v>
      </c>
      <c r="BB516" s="12" t="s">
        <v>6596</v>
      </c>
      <c r="BC516" s="12" t="s">
        <v>6597</v>
      </c>
      <c r="BD516" s="12"/>
      <c r="BE516" s="12" t="s">
        <v>2291</v>
      </c>
      <c r="BF516" s="12"/>
      <c r="BG516" s="12"/>
      <c r="BH516" s="12"/>
      <c r="BI516" s="12"/>
      <c r="BJ516" s="12"/>
      <c r="BK516" s="12" t="s">
        <v>6598</v>
      </c>
      <c r="BL516" s="12" t="s">
        <v>2292</v>
      </c>
      <c r="BM516" s="12" t="s">
        <v>2292</v>
      </c>
      <c r="BN516" s="12" t="s">
        <v>2292</v>
      </c>
      <c r="BO516" s="12" t="s">
        <v>2292</v>
      </c>
      <c r="BP516" s="12"/>
      <c r="BQ516" s="12"/>
      <c r="BR516" s="12"/>
      <c r="BS516" s="12"/>
      <c r="BT516" s="12" t="s">
        <v>1867</v>
      </c>
      <c r="BU516" s="12" t="s">
        <v>326</v>
      </c>
      <c r="BV516" s="12"/>
      <c r="BW516" s="12" t="s">
        <v>1868</v>
      </c>
      <c r="BX516" s="12"/>
      <c r="BY516" s="13" t="s">
        <v>313</v>
      </c>
      <c r="BZ516" s="13" t="s">
        <v>6171</v>
      </c>
      <c r="CA516" s="13"/>
      <c r="CB516" s="13"/>
      <c r="CC516" s="13"/>
      <c r="CD516" s="13"/>
      <c r="CE516" s="13"/>
      <c r="CF516" s="13"/>
    </row>
    <row r="517" spans="1:84" ht="18.600000000000001" customHeight="1" x14ac:dyDescent="0.25">
      <c r="A517" s="35" t="s">
        <v>188</v>
      </c>
      <c r="B517" s="13" t="s">
        <v>4845</v>
      </c>
      <c r="C517" s="3" t="s">
        <v>4848</v>
      </c>
      <c r="D517" s="12" t="s">
        <v>4873</v>
      </c>
      <c r="E517" s="12" t="s">
        <v>4847</v>
      </c>
      <c r="F517" s="12" t="s">
        <v>4874</v>
      </c>
      <c r="G517" s="25">
        <v>9585</v>
      </c>
      <c r="H517" s="25">
        <v>6660</v>
      </c>
      <c r="I517" s="25">
        <v>730</v>
      </c>
      <c r="J517" s="25">
        <v>1585</v>
      </c>
      <c r="K517" s="25">
        <v>97981</v>
      </c>
      <c r="L517" s="25">
        <v>22554</v>
      </c>
      <c r="M517" s="25">
        <v>120535</v>
      </c>
      <c r="N517" s="31">
        <v>0.81</v>
      </c>
      <c r="O517" s="25">
        <v>2969</v>
      </c>
      <c r="P517" s="25">
        <v>0</v>
      </c>
      <c r="Q517" s="25">
        <v>545</v>
      </c>
      <c r="R517" s="25">
        <v>30</v>
      </c>
      <c r="S517" s="25">
        <v>11</v>
      </c>
      <c r="T517" s="25">
        <v>12</v>
      </c>
      <c r="U517" s="61">
        <v>12</v>
      </c>
      <c r="V517" s="58">
        <v>5.7000000000000002E-3</v>
      </c>
      <c r="W517" s="33">
        <v>5.1000000000000004E-3</v>
      </c>
      <c r="X517" s="33">
        <v>3.2000000000000002E-3</v>
      </c>
      <c r="Y517" s="33">
        <v>3.3E-3</v>
      </c>
      <c r="Z517" s="33">
        <v>4.7899999999999998E-2</v>
      </c>
      <c r="AA517" s="33">
        <v>1.4E-3</v>
      </c>
      <c r="AB517" s="25">
        <v>159</v>
      </c>
      <c r="AC517" s="25">
        <v>65</v>
      </c>
      <c r="AD517" s="25">
        <v>69</v>
      </c>
      <c r="AE517" s="25">
        <v>6</v>
      </c>
      <c r="AF517" s="25">
        <v>6</v>
      </c>
      <c r="AG517" s="25">
        <v>9</v>
      </c>
      <c r="AH517" s="25">
        <v>4</v>
      </c>
      <c r="AI517" s="12">
        <v>0.36</v>
      </c>
      <c r="AJ517" s="25">
        <v>11241</v>
      </c>
      <c r="AK517" s="25">
        <v>1324</v>
      </c>
      <c r="AL517" s="33">
        <v>0.13350000000000001</v>
      </c>
      <c r="AM517" s="3" t="s">
        <v>4848</v>
      </c>
      <c r="AN517" s="12" t="s">
        <v>4847</v>
      </c>
      <c r="AO517" s="12" t="s">
        <v>4847</v>
      </c>
      <c r="AP517" s="12" t="str">
        <f>"682597888444503"</f>
        <v>682597888444503</v>
      </c>
      <c r="AQ517" s="12" t="s">
        <v>4873</v>
      </c>
      <c r="AR517" s="12" t="s">
        <v>4846</v>
      </c>
      <c r="AS517" s="12" t="s">
        <v>4903</v>
      </c>
      <c r="AT517" s="12" t="s">
        <v>4904</v>
      </c>
      <c r="AU517" s="12" t="s">
        <v>309</v>
      </c>
      <c r="AV517" s="12"/>
      <c r="AW517" s="12"/>
      <c r="AX517" s="12">
        <v>0</v>
      </c>
      <c r="AY517" s="12">
        <v>76</v>
      </c>
      <c r="AZ517" s="12">
        <v>0</v>
      </c>
      <c r="BA517" s="12" t="s">
        <v>4905</v>
      </c>
      <c r="BB517" s="12"/>
      <c r="BC517" s="12" t="s">
        <v>6720</v>
      </c>
      <c r="BD517" s="12" t="s">
        <v>3259</v>
      </c>
      <c r="BE517" s="12" t="s">
        <v>2291</v>
      </c>
      <c r="BF517" s="12"/>
      <c r="BG517" s="12"/>
      <c r="BH517" s="12"/>
      <c r="BI517" s="12"/>
      <c r="BJ517" s="12"/>
      <c r="BK517" s="12"/>
      <c r="BL517" s="12" t="s">
        <v>2292</v>
      </c>
      <c r="BM517" s="12" t="s">
        <v>2292</v>
      </c>
      <c r="BN517" s="12" t="s">
        <v>2292</v>
      </c>
      <c r="BO517" s="12" t="s">
        <v>2292</v>
      </c>
      <c r="BP517" s="12"/>
      <c r="BQ517" s="12"/>
      <c r="BR517" s="12"/>
      <c r="BS517" s="12"/>
      <c r="BT517" s="12"/>
      <c r="BU517" s="12"/>
      <c r="BV517" s="12"/>
      <c r="BW517" s="12"/>
      <c r="BX517" s="12"/>
      <c r="BY517" s="13" t="s">
        <v>313</v>
      </c>
      <c r="BZ517" s="13" t="s">
        <v>6190</v>
      </c>
      <c r="CA517" s="13"/>
      <c r="CB517" s="13"/>
      <c r="CC517" s="13"/>
      <c r="CD517" s="13"/>
      <c r="CE517" s="13"/>
      <c r="CF517" s="13"/>
    </row>
    <row r="518" spans="1:84" ht="18.600000000000001" customHeight="1" x14ac:dyDescent="0.25">
      <c r="A518" s="35" t="s">
        <v>188</v>
      </c>
      <c r="B518" s="13" t="s">
        <v>335</v>
      </c>
      <c r="C518" s="3" t="s">
        <v>2751</v>
      </c>
      <c r="D518" s="12" t="s">
        <v>1869</v>
      </c>
      <c r="E518" s="12"/>
      <c r="F518" s="12" t="s">
        <v>4473</v>
      </c>
      <c r="G518" s="25">
        <v>3417</v>
      </c>
      <c r="H518" s="25">
        <v>2325</v>
      </c>
      <c r="I518" s="25">
        <v>81</v>
      </c>
      <c r="J518" s="25">
        <v>901</v>
      </c>
      <c r="K518" s="25">
        <v>572</v>
      </c>
      <c r="L518" s="25">
        <v>966</v>
      </c>
      <c r="M518" s="25">
        <v>1538</v>
      </c>
      <c r="N518" s="31">
        <v>0.37</v>
      </c>
      <c r="O518" s="25">
        <v>5406</v>
      </c>
      <c r="P518" s="25">
        <v>54</v>
      </c>
      <c r="Q518" s="25">
        <v>82</v>
      </c>
      <c r="R518" s="25">
        <v>14</v>
      </c>
      <c r="S518" s="25">
        <v>9</v>
      </c>
      <c r="T518" s="25">
        <v>5</v>
      </c>
      <c r="U518" s="61">
        <v>0</v>
      </c>
      <c r="V518" s="58">
        <v>2.5000000000000001E-3</v>
      </c>
      <c r="W518" s="33">
        <v>2.7000000000000001E-3</v>
      </c>
      <c r="X518" s="33">
        <v>8.9999999999999998E-4</v>
      </c>
      <c r="Y518" s="33">
        <v>5.0000000000000001E-4</v>
      </c>
      <c r="Z518" s="33">
        <v>5.8999999999999999E-3</v>
      </c>
      <c r="AA518" s="33">
        <v>6.8999999999999999E-3</v>
      </c>
      <c r="AB518" s="25">
        <v>585</v>
      </c>
      <c r="AC518" s="25">
        <v>459</v>
      </c>
      <c r="AD518" s="25">
        <v>54</v>
      </c>
      <c r="AE518" s="25">
        <v>1</v>
      </c>
      <c r="AF518" s="25">
        <v>4</v>
      </c>
      <c r="AG518" s="25">
        <v>62</v>
      </c>
      <c r="AH518" s="25">
        <v>5</v>
      </c>
      <c r="AI518" s="12">
        <v>1.33</v>
      </c>
      <c r="AJ518" s="25">
        <v>2813</v>
      </c>
      <c r="AK518" s="25">
        <v>1084</v>
      </c>
      <c r="AL518" s="33">
        <v>0.627</v>
      </c>
      <c r="AM518" s="3" t="s">
        <v>2751</v>
      </c>
      <c r="AN518" s="12" t="s">
        <v>5379</v>
      </c>
      <c r="AO518" s="12"/>
      <c r="AP518" s="12" t="str">
        <f>"511449525613301"</f>
        <v>511449525613301</v>
      </c>
      <c r="AQ518" s="12" t="s">
        <v>1869</v>
      </c>
      <c r="AR518" s="12" t="s">
        <v>1870</v>
      </c>
      <c r="AS518" s="12" t="s">
        <v>1871</v>
      </c>
      <c r="AT518" s="12"/>
      <c r="AU518" s="12" t="s">
        <v>6896</v>
      </c>
      <c r="AV518" s="12" t="s">
        <v>6897</v>
      </c>
      <c r="AW518" s="12"/>
      <c r="AX518" s="12">
        <v>110</v>
      </c>
      <c r="AY518" s="12">
        <v>260</v>
      </c>
      <c r="AZ518" s="12">
        <v>0</v>
      </c>
      <c r="BA518" s="12" t="s">
        <v>1872</v>
      </c>
      <c r="BB518" s="12" t="s">
        <v>6898</v>
      </c>
      <c r="BC518" s="12" t="s">
        <v>6899</v>
      </c>
      <c r="BD518" s="12"/>
      <c r="BE518" s="12" t="s">
        <v>2291</v>
      </c>
      <c r="BF518" s="12"/>
      <c r="BG518" s="12"/>
      <c r="BH518" s="12"/>
      <c r="BI518" s="12"/>
      <c r="BJ518" s="12"/>
      <c r="BK518" s="12" t="s">
        <v>6598</v>
      </c>
      <c r="BL518" s="12" t="s">
        <v>2292</v>
      </c>
      <c r="BM518" s="12" t="s">
        <v>2292</v>
      </c>
      <c r="BN518" s="12" t="s">
        <v>2292</v>
      </c>
      <c r="BO518" s="12" t="s">
        <v>2292</v>
      </c>
      <c r="BP518" s="12"/>
      <c r="BQ518" s="12"/>
      <c r="BR518" s="12"/>
      <c r="BS518" s="12"/>
      <c r="BT518" s="12" t="s">
        <v>1873</v>
      </c>
      <c r="BU518" s="12" t="s">
        <v>326</v>
      </c>
      <c r="BV518" s="12"/>
      <c r="BW518" s="12" t="s">
        <v>1874</v>
      </c>
      <c r="BX518" s="12"/>
      <c r="BY518" s="13" t="s">
        <v>313</v>
      </c>
      <c r="BZ518" s="13" t="s">
        <v>6170</v>
      </c>
      <c r="CA518" s="13" t="s">
        <v>6170</v>
      </c>
      <c r="CB518" s="13" t="s">
        <v>312</v>
      </c>
      <c r="CC518" s="13"/>
      <c r="CD518" s="13" t="s">
        <v>6198</v>
      </c>
      <c r="CE518" s="13"/>
      <c r="CF518" s="13"/>
    </row>
    <row r="519" spans="1:84" ht="18.600000000000001" customHeight="1" x14ac:dyDescent="0.25">
      <c r="A519" s="60" t="s">
        <v>189</v>
      </c>
      <c r="B519" s="2" t="s">
        <v>1878</v>
      </c>
      <c r="C519" s="3" t="s">
        <v>2628</v>
      </c>
      <c r="D519" s="12" t="s">
        <v>1876</v>
      </c>
      <c r="E519" s="12" t="s">
        <v>1875</v>
      </c>
      <c r="F519" s="12" t="s">
        <v>4127</v>
      </c>
      <c r="G519" s="25">
        <v>21095785</v>
      </c>
      <c r="H519" s="25">
        <v>15233393</v>
      </c>
      <c r="I519" s="25">
        <v>951455</v>
      </c>
      <c r="J519" s="25">
        <v>2142714</v>
      </c>
      <c r="K519" s="25">
        <v>57409317</v>
      </c>
      <c r="L519" s="25">
        <v>41185803</v>
      </c>
      <c r="M519" s="25">
        <v>98595120</v>
      </c>
      <c r="N519" s="31">
        <v>0.57999999999999996</v>
      </c>
      <c r="O519" s="25">
        <v>11270946</v>
      </c>
      <c r="P519" s="25">
        <v>3842329</v>
      </c>
      <c r="Q519" s="25">
        <v>2254225</v>
      </c>
      <c r="R519" s="25">
        <v>77811</v>
      </c>
      <c r="S519" s="25">
        <v>67504</v>
      </c>
      <c r="T519" s="25">
        <v>301293</v>
      </c>
      <c r="U519" s="61">
        <v>56789</v>
      </c>
      <c r="V519" s="58">
        <v>4.7999999999999996E-3</v>
      </c>
      <c r="W519" s="33">
        <v>5.7999999999999996E-3</v>
      </c>
      <c r="X519" s="33">
        <v>2.8999999999999998E-3</v>
      </c>
      <c r="Y519" s="33">
        <v>5.5999999999999999E-3</v>
      </c>
      <c r="Z519" s="33">
        <v>7.4999999999999997E-3</v>
      </c>
      <c r="AA519" s="33">
        <v>8.9999999999999998E-4</v>
      </c>
      <c r="AB519" s="25">
        <v>876</v>
      </c>
      <c r="AC519" s="25">
        <v>382</v>
      </c>
      <c r="AD519" s="25">
        <v>172</v>
      </c>
      <c r="AE519" s="25">
        <v>45</v>
      </c>
      <c r="AF519" s="25">
        <v>176</v>
      </c>
      <c r="AG519" s="25">
        <v>94</v>
      </c>
      <c r="AH519" s="25">
        <v>7</v>
      </c>
      <c r="AI519" s="12">
        <v>2</v>
      </c>
      <c r="AJ519" s="25">
        <v>5796749</v>
      </c>
      <c r="AK519" s="25">
        <v>2212154</v>
      </c>
      <c r="AL519" s="33">
        <v>0.61709999999999998</v>
      </c>
      <c r="AM519" s="3" t="s">
        <v>2628</v>
      </c>
      <c r="AN519" s="12" t="s">
        <v>1875</v>
      </c>
      <c r="AO519" s="12" t="s">
        <v>1875</v>
      </c>
      <c r="AP519" s="12" t="str">
        <f>"21751825648"</f>
        <v>21751825648</v>
      </c>
      <c r="AQ519" s="12" t="s">
        <v>1876</v>
      </c>
      <c r="AR519" s="12" t="s">
        <v>3195</v>
      </c>
      <c r="AS519" s="12" t="s">
        <v>2629</v>
      </c>
      <c r="AT519" s="12"/>
      <c r="AU519" s="12" t="s">
        <v>309</v>
      </c>
      <c r="AV519" s="12"/>
      <c r="AW519" s="12"/>
      <c r="AX519" s="12">
        <v>0</v>
      </c>
      <c r="AY519" s="12">
        <v>167230</v>
      </c>
      <c r="AZ519" s="12">
        <v>0</v>
      </c>
      <c r="BA519" s="12" t="s">
        <v>1877</v>
      </c>
      <c r="BB519" s="12"/>
      <c r="BC519" s="12" t="s">
        <v>6715</v>
      </c>
      <c r="BD519" s="12"/>
      <c r="BE519" s="12" t="s">
        <v>2291</v>
      </c>
      <c r="BF519" s="12"/>
      <c r="BG519" s="12"/>
      <c r="BH519" s="12"/>
      <c r="BI519" s="12"/>
      <c r="BJ519" s="12"/>
      <c r="BK519" s="12"/>
      <c r="BL519" s="12" t="s">
        <v>2292</v>
      </c>
      <c r="BM519" s="12" t="s">
        <v>2292</v>
      </c>
      <c r="BN519" s="12" t="s">
        <v>2292</v>
      </c>
      <c r="BO519" s="12" t="s">
        <v>2291</v>
      </c>
      <c r="BP519" s="12"/>
      <c r="BQ519" s="12"/>
      <c r="BR519" s="12" t="s">
        <v>3196</v>
      </c>
      <c r="BS519" s="12"/>
      <c r="BT519" s="12"/>
      <c r="BU519" s="12"/>
      <c r="BV519" s="12"/>
      <c r="BW519" s="12"/>
      <c r="BX519" s="12"/>
      <c r="BY519" s="13" t="s">
        <v>313</v>
      </c>
      <c r="BZ519" s="13" t="s">
        <v>312</v>
      </c>
      <c r="CA519" s="13"/>
      <c r="CB519" s="13"/>
      <c r="CC519" s="13"/>
      <c r="CD519" s="13"/>
      <c r="CE519" s="13"/>
      <c r="CF519" s="13"/>
    </row>
    <row r="520" spans="1:84" ht="18.600000000000001" customHeight="1" x14ac:dyDescent="0.25">
      <c r="A520" s="60" t="s">
        <v>189</v>
      </c>
      <c r="B520" s="2" t="s">
        <v>4666</v>
      </c>
      <c r="C520" s="3" t="s">
        <v>4667</v>
      </c>
      <c r="D520" s="12" t="s">
        <v>4671</v>
      </c>
      <c r="E520" s="12" t="s">
        <v>4720</v>
      </c>
      <c r="F520" s="12" t="s">
        <v>4745</v>
      </c>
      <c r="G520" s="25">
        <v>44439</v>
      </c>
      <c r="H520" s="25">
        <v>32566</v>
      </c>
      <c r="I520" s="25">
        <v>3891</v>
      </c>
      <c r="J520" s="25">
        <v>3924</v>
      </c>
      <c r="K520" s="25">
        <v>57574</v>
      </c>
      <c r="L520" s="25">
        <v>180360</v>
      </c>
      <c r="M520" s="25">
        <v>237934</v>
      </c>
      <c r="N520" s="31">
        <v>0.24</v>
      </c>
      <c r="O520" s="25">
        <v>46255</v>
      </c>
      <c r="P520" s="25">
        <v>22105</v>
      </c>
      <c r="Q520" s="25">
        <v>3520</v>
      </c>
      <c r="R520" s="25">
        <v>211</v>
      </c>
      <c r="S520" s="25">
        <v>90</v>
      </c>
      <c r="T520" s="25">
        <v>126</v>
      </c>
      <c r="U520" s="61">
        <v>108</v>
      </c>
      <c r="V520" s="58">
        <v>7.7999999999999996E-3</v>
      </c>
      <c r="W520" s="33">
        <v>8.8000000000000005E-3</v>
      </c>
      <c r="X520" s="33">
        <v>5.4999999999999997E-3</v>
      </c>
      <c r="Y520" s="33">
        <v>1.54E-2</v>
      </c>
      <c r="Z520" s="33">
        <v>1.9400000000000001E-2</v>
      </c>
      <c r="AA520" s="33">
        <v>1.5E-3</v>
      </c>
      <c r="AB520" s="25">
        <v>336</v>
      </c>
      <c r="AC520" s="25">
        <v>196</v>
      </c>
      <c r="AD520" s="25">
        <v>36</v>
      </c>
      <c r="AE520" s="25">
        <v>4</v>
      </c>
      <c r="AF520" s="25">
        <v>22</v>
      </c>
      <c r="AG520" s="25">
        <v>75</v>
      </c>
      <c r="AH520" s="25">
        <v>3</v>
      </c>
      <c r="AI520" s="12">
        <v>0.77</v>
      </c>
      <c r="AJ520" s="25">
        <v>21338</v>
      </c>
      <c r="AK520" s="25">
        <v>9240</v>
      </c>
      <c r="AL520" s="33">
        <v>0.76380000000000003</v>
      </c>
      <c r="AM520" s="3" t="s">
        <v>4667</v>
      </c>
      <c r="AN520" s="12" t="s">
        <v>4720</v>
      </c>
      <c r="AO520" s="12" t="s">
        <v>4720</v>
      </c>
      <c r="AP520" s="12" t="str">
        <f>"544043002316611"</f>
        <v>544043002316611</v>
      </c>
      <c r="AQ520" s="12" t="s">
        <v>4671</v>
      </c>
      <c r="AR520" s="12" t="s">
        <v>5826</v>
      </c>
      <c r="AS520" s="12" t="s">
        <v>4721</v>
      </c>
      <c r="AT520" s="12" t="s">
        <v>4830</v>
      </c>
      <c r="AU520" s="12" t="s">
        <v>309</v>
      </c>
      <c r="AV520" s="12"/>
      <c r="AW520" s="12"/>
      <c r="AX520" s="12">
        <v>0</v>
      </c>
      <c r="AY520" s="12">
        <v>762</v>
      </c>
      <c r="AZ520" s="12">
        <v>0</v>
      </c>
      <c r="BA520" s="12" t="s">
        <v>4722</v>
      </c>
      <c r="BB520" s="12" t="s">
        <v>6567</v>
      </c>
      <c r="BC520" s="12" t="s">
        <v>6568</v>
      </c>
      <c r="BD520" s="12" t="s">
        <v>4723</v>
      </c>
      <c r="BE520" s="12" t="s">
        <v>2291</v>
      </c>
      <c r="BF520" s="12"/>
      <c r="BG520" s="12"/>
      <c r="BH520" s="12"/>
      <c r="BI520" s="12" t="s">
        <v>4975</v>
      </c>
      <c r="BJ520" s="12"/>
      <c r="BK520" s="12"/>
      <c r="BL520" s="12" t="s">
        <v>2292</v>
      </c>
      <c r="BM520" s="12" t="s">
        <v>2292</v>
      </c>
      <c r="BN520" s="12" t="s">
        <v>2292</v>
      </c>
      <c r="BO520" s="12" t="s">
        <v>2291</v>
      </c>
      <c r="BP520" s="12"/>
      <c r="BQ520" s="12"/>
      <c r="BR520" s="12"/>
      <c r="BS520" s="12"/>
      <c r="BT520" s="12" t="s">
        <v>4724</v>
      </c>
      <c r="BU520" s="12"/>
      <c r="BV520" s="12"/>
      <c r="BW520" s="12" t="s">
        <v>4725</v>
      </c>
      <c r="BX520" s="12"/>
      <c r="BY520" s="13" t="s">
        <v>313</v>
      </c>
      <c r="BZ520" s="13" t="s">
        <v>6172</v>
      </c>
      <c r="CA520" s="13"/>
      <c r="CB520" s="13"/>
      <c r="CC520" s="13"/>
      <c r="CD520" s="13"/>
      <c r="CE520" s="13"/>
      <c r="CF520" s="13"/>
    </row>
    <row r="521" spans="1:84" ht="18.600000000000001" customHeight="1" x14ac:dyDescent="0.25">
      <c r="A521" s="60" t="s">
        <v>189</v>
      </c>
      <c r="B521" s="2" t="s">
        <v>335</v>
      </c>
      <c r="C521" s="3" t="s">
        <v>2371</v>
      </c>
      <c r="D521" s="12" t="s">
        <v>2372</v>
      </c>
      <c r="E521" s="12" t="s">
        <v>190</v>
      </c>
      <c r="F521" s="12" t="s">
        <v>3977</v>
      </c>
      <c r="G521" s="25">
        <v>61000</v>
      </c>
      <c r="H521" s="25">
        <v>46429</v>
      </c>
      <c r="I521" s="25">
        <v>2946</v>
      </c>
      <c r="J521" s="25">
        <v>8714</v>
      </c>
      <c r="K521" s="25">
        <v>114343</v>
      </c>
      <c r="L521" s="25">
        <v>203389</v>
      </c>
      <c r="M521" s="25">
        <v>317732</v>
      </c>
      <c r="N521" s="31">
        <v>0.36</v>
      </c>
      <c r="O521" s="25">
        <v>54056</v>
      </c>
      <c r="P521" s="25">
        <v>117988</v>
      </c>
      <c r="Q521" s="25">
        <v>2401</v>
      </c>
      <c r="R521" s="25">
        <v>112</v>
      </c>
      <c r="S521" s="25">
        <v>56</v>
      </c>
      <c r="T521" s="25">
        <v>268</v>
      </c>
      <c r="U521" s="61">
        <v>72</v>
      </c>
      <c r="V521" s="58">
        <v>6.9999999999999999E-4</v>
      </c>
      <c r="W521" s="33">
        <v>6.9999999999999999E-4</v>
      </c>
      <c r="X521" s="33">
        <v>8.0000000000000004E-4</v>
      </c>
      <c r="Y521" s="33">
        <v>2.0000000000000001E-4</v>
      </c>
      <c r="Z521" s="33">
        <v>1.1000000000000001E-3</v>
      </c>
      <c r="AA521" s="33">
        <v>6.9999999999999999E-4</v>
      </c>
      <c r="AB521" s="25">
        <v>515</v>
      </c>
      <c r="AC521" s="25">
        <v>338</v>
      </c>
      <c r="AD521" s="25">
        <v>74</v>
      </c>
      <c r="AE521" s="25">
        <v>7</v>
      </c>
      <c r="AF521" s="25">
        <v>47</v>
      </c>
      <c r="AG521" s="25">
        <v>44</v>
      </c>
      <c r="AH521" s="25">
        <v>5</v>
      </c>
      <c r="AI521" s="12">
        <v>1.17</v>
      </c>
      <c r="AJ521" s="25">
        <v>170583</v>
      </c>
      <c r="AK521" s="25">
        <v>21162</v>
      </c>
      <c r="AL521" s="33">
        <v>0.1416</v>
      </c>
      <c r="AM521" s="3" t="s">
        <v>2371</v>
      </c>
      <c r="AN521" s="12" t="s">
        <v>190</v>
      </c>
      <c r="AO521" s="12" t="s">
        <v>190</v>
      </c>
      <c r="AP521" s="12" t="str">
        <f>"389212394428058"</f>
        <v>389212394428058</v>
      </c>
      <c r="AQ521" s="12" t="s">
        <v>2372</v>
      </c>
      <c r="AR521" s="12" t="s">
        <v>1879</v>
      </c>
      <c r="AS521" s="12" t="s">
        <v>2373</v>
      </c>
      <c r="AT521" s="12"/>
      <c r="AU521" s="12" t="s">
        <v>324</v>
      </c>
      <c r="AV521" s="12"/>
      <c r="AW521" s="12"/>
      <c r="AX521" s="12">
        <v>0</v>
      </c>
      <c r="AY521" s="12">
        <v>678</v>
      </c>
      <c r="AZ521" s="12">
        <v>0</v>
      </c>
      <c r="BA521" s="12" t="s">
        <v>1880</v>
      </c>
      <c r="BB521" s="12" t="s">
        <v>6377</v>
      </c>
      <c r="BC521" s="12" t="s">
        <v>6378</v>
      </c>
      <c r="BD521" s="12"/>
      <c r="BE521" s="12" t="s">
        <v>2291</v>
      </c>
      <c r="BF521" s="12"/>
      <c r="BG521" s="12"/>
      <c r="BH521" s="12"/>
      <c r="BI521" s="12"/>
      <c r="BJ521" s="12"/>
      <c r="BK521" s="12"/>
      <c r="BL521" s="12" t="s">
        <v>2292</v>
      </c>
      <c r="BM521" s="12" t="s">
        <v>2292</v>
      </c>
      <c r="BN521" s="12" t="s">
        <v>2292</v>
      </c>
      <c r="BO521" s="12" t="s">
        <v>2291</v>
      </c>
      <c r="BP521" s="12"/>
      <c r="BQ521" s="12"/>
      <c r="BR521" s="12"/>
      <c r="BS521" s="12"/>
      <c r="BT521" s="12" t="s">
        <v>1881</v>
      </c>
      <c r="BU521" s="12"/>
      <c r="BV521" s="12"/>
      <c r="BW521" s="12" t="s">
        <v>1882</v>
      </c>
      <c r="BX521" s="12"/>
      <c r="BY521" s="13" t="s">
        <v>313</v>
      </c>
      <c r="BZ521" s="13" t="s">
        <v>6170</v>
      </c>
      <c r="CA521" s="13" t="s">
        <v>6170</v>
      </c>
      <c r="CB521" s="13" t="s">
        <v>312</v>
      </c>
      <c r="CC521" s="13"/>
      <c r="CD521" s="13" t="s">
        <v>6198</v>
      </c>
      <c r="CE521" s="13"/>
      <c r="CF521" s="13"/>
    </row>
    <row r="522" spans="1:84" ht="18.600000000000001" customHeight="1" x14ac:dyDescent="0.25">
      <c r="A522" s="60" t="s">
        <v>189</v>
      </c>
      <c r="B522" s="2" t="s">
        <v>335</v>
      </c>
      <c r="C522" s="3" t="s">
        <v>2374</v>
      </c>
      <c r="D522" s="12" t="s">
        <v>2375</v>
      </c>
      <c r="E522" s="12" t="s">
        <v>191</v>
      </c>
      <c r="F522" s="12" t="s">
        <v>3978</v>
      </c>
      <c r="G522" s="25">
        <v>11132</v>
      </c>
      <c r="H522" s="25">
        <v>7603</v>
      </c>
      <c r="I522" s="25">
        <v>1170</v>
      </c>
      <c r="J522" s="25">
        <v>1627</v>
      </c>
      <c r="K522" s="25">
        <v>49826</v>
      </c>
      <c r="L522" s="25">
        <v>55674</v>
      </c>
      <c r="M522" s="25">
        <v>105500</v>
      </c>
      <c r="N522" s="31">
        <v>0.47</v>
      </c>
      <c r="O522" s="25">
        <v>6844</v>
      </c>
      <c r="P522" s="25">
        <v>44757</v>
      </c>
      <c r="Q522" s="25">
        <v>672</v>
      </c>
      <c r="R522" s="25">
        <v>16</v>
      </c>
      <c r="S522" s="25">
        <v>13</v>
      </c>
      <c r="T522" s="25">
        <v>19</v>
      </c>
      <c r="U522" s="61">
        <v>12</v>
      </c>
      <c r="V522" s="58">
        <v>4.0000000000000002E-4</v>
      </c>
      <c r="W522" s="33">
        <v>2.9999999999999997E-4</v>
      </c>
      <c r="X522" s="33">
        <v>4.0000000000000002E-4</v>
      </c>
      <c r="Y522" s="33">
        <v>1E-4</v>
      </c>
      <c r="Z522" s="33">
        <v>1.4E-3</v>
      </c>
      <c r="AA522" s="33">
        <v>4.0000000000000002E-4</v>
      </c>
      <c r="AB522" s="25">
        <v>495</v>
      </c>
      <c r="AC522" s="25">
        <v>333</v>
      </c>
      <c r="AD522" s="25">
        <v>71</v>
      </c>
      <c r="AE522" s="25">
        <v>6</v>
      </c>
      <c r="AF522" s="25">
        <v>42</v>
      </c>
      <c r="AG522" s="25">
        <v>39</v>
      </c>
      <c r="AH522" s="25">
        <v>4</v>
      </c>
      <c r="AI522" s="12">
        <v>1.1299999999999999</v>
      </c>
      <c r="AJ522" s="25">
        <v>54556</v>
      </c>
      <c r="AK522" s="25">
        <v>2054</v>
      </c>
      <c r="AL522" s="33">
        <v>3.9100000000000003E-2</v>
      </c>
      <c r="AM522" s="3" t="s">
        <v>2374</v>
      </c>
      <c r="AN522" s="12" t="s">
        <v>191</v>
      </c>
      <c r="AO522" s="12" t="s">
        <v>191</v>
      </c>
      <c r="AP522" s="12" t="str">
        <f>"112641568862846"</f>
        <v>112641568862846</v>
      </c>
      <c r="AQ522" s="12" t="s">
        <v>2375</v>
      </c>
      <c r="AR522" s="12" t="s">
        <v>1883</v>
      </c>
      <c r="AS522" s="12" t="s">
        <v>2376</v>
      </c>
      <c r="AT522" s="12"/>
      <c r="AU522" s="12" t="s">
        <v>324</v>
      </c>
      <c r="AV522" s="12" t="s">
        <v>5731</v>
      </c>
      <c r="AW522" s="12"/>
      <c r="AX522" s="12">
        <v>195</v>
      </c>
      <c r="AY522" s="12">
        <v>119</v>
      </c>
      <c r="AZ522" s="12">
        <v>195</v>
      </c>
      <c r="BA522" s="12" t="s">
        <v>1884</v>
      </c>
      <c r="BB522" s="12" t="s">
        <v>6379</v>
      </c>
      <c r="BC522" s="12" t="s">
        <v>6380</v>
      </c>
      <c r="BD522" s="12"/>
      <c r="BE522" s="12" t="s">
        <v>2291</v>
      </c>
      <c r="BF522" s="12"/>
      <c r="BG522" s="12"/>
      <c r="BH522" s="12"/>
      <c r="BI522" s="12"/>
      <c r="BJ522" s="12"/>
      <c r="BK522" s="12"/>
      <c r="BL522" s="12" t="s">
        <v>2292</v>
      </c>
      <c r="BM522" s="12" t="s">
        <v>2292</v>
      </c>
      <c r="BN522" s="12" t="s">
        <v>2292</v>
      </c>
      <c r="BO522" s="12" t="s">
        <v>2291</v>
      </c>
      <c r="BP522" s="12" t="s">
        <v>2377</v>
      </c>
      <c r="BQ522" s="12"/>
      <c r="BR522" s="12"/>
      <c r="BS522" s="12"/>
      <c r="BT522" s="12" t="s">
        <v>1881</v>
      </c>
      <c r="BU522" s="12" t="s">
        <v>326</v>
      </c>
      <c r="BV522" s="12"/>
      <c r="BW522" s="12" t="s">
        <v>1885</v>
      </c>
      <c r="BX522" s="12"/>
      <c r="BY522" s="13" t="s">
        <v>313</v>
      </c>
      <c r="BZ522" s="13" t="s">
        <v>6170</v>
      </c>
      <c r="CA522" s="13" t="s">
        <v>6170</v>
      </c>
      <c r="CB522" s="13" t="s">
        <v>6200</v>
      </c>
      <c r="CC522" s="13"/>
      <c r="CD522" s="13" t="s">
        <v>6198</v>
      </c>
      <c r="CE522" s="13"/>
      <c r="CF522" s="13"/>
    </row>
    <row r="523" spans="1:84" ht="18.600000000000001" customHeight="1" x14ac:dyDescent="0.25">
      <c r="A523" s="60" t="s">
        <v>192</v>
      </c>
      <c r="B523" s="2" t="s">
        <v>1892</v>
      </c>
      <c r="C523" s="3" t="s">
        <v>2664</v>
      </c>
      <c r="D523" s="12" t="s">
        <v>1888</v>
      </c>
      <c r="E523" s="12" t="s">
        <v>1887</v>
      </c>
      <c r="F523" s="12" t="s">
        <v>4152</v>
      </c>
      <c r="G523" s="25">
        <v>1678699</v>
      </c>
      <c r="H523" s="25">
        <v>1076051</v>
      </c>
      <c r="I523" s="25">
        <v>179798</v>
      </c>
      <c r="J523" s="25">
        <v>211537</v>
      </c>
      <c r="K523" s="25">
        <v>11576157</v>
      </c>
      <c r="L523" s="25">
        <v>4908152</v>
      </c>
      <c r="M523" s="25">
        <v>16484309</v>
      </c>
      <c r="N523" s="31">
        <v>0.7</v>
      </c>
      <c r="O523" s="25">
        <v>545659</v>
      </c>
      <c r="P523" s="25">
        <v>2139207</v>
      </c>
      <c r="Q523" s="25">
        <v>167362</v>
      </c>
      <c r="R523" s="25">
        <v>6654</v>
      </c>
      <c r="S523" s="25">
        <v>14796</v>
      </c>
      <c r="T523" s="25">
        <v>6855</v>
      </c>
      <c r="U523" s="61">
        <v>15640</v>
      </c>
      <c r="V523" s="58">
        <v>1.8E-3</v>
      </c>
      <c r="W523" s="33">
        <v>2.5999999999999999E-3</v>
      </c>
      <c r="X523" s="33">
        <v>1.4E-3</v>
      </c>
      <c r="Y523" s="33">
        <v>2.3999999999999998E-3</v>
      </c>
      <c r="Z523" s="33">
        <v>1.9E-3</v>
      </c>
      <c r="AA523" s="33">
        <v>6.9999999999999999E-4</v>
      </c>
      <c r="AB523" s="25">
        <v>1485</v>
      </c>
      <c r="AC523" s="25">
        <v>260</v>
      </c>
      <c r="AD523" s="25">
        <v>330</v>
      </c>
      <c r="AE523" s="25">
        <v>55</v>
      </c>
      <c r="AF523" s="25">
        <v>773</v>
      </c>
      <c r="AG523" s="25">
        <v>61</v>
      </c>
      <c r="AH523" s="25">
        <v>6</v>
      </c>
      <c r="AI523" s="12">
        <v>3.38</v>
      </c>
      <c r="AJ523" s="25">
        <v>640365</v>
      </c>
      <c r="AK523" s="25">
        <v>24391</v>
      </c>
      <c r="AL523" s="33">
        <v>3.9600000000000003E-2</v>
      </c>
      <c r="AM523" s="3" t="s">
        <v>2664</v>
      </c>
      <c r="AN523" s="12" t="s">
        <v>1887</v>
      </c>
      <c r="AO523" s="12" t="s">
        <v>1887</v>
      </c>
      <c r="AP523" s="12" t="str">
        <f>"199246583438202"</f>
        <v>199246583438202</v>
      </c>
      <c r="AQ523" s="12" t="s">
        <v>1888</v>
      </c>
      <c r="AR523" s="12" t="s">
        <v>1889</v>
      </c>
      <c r="AS523" s="12" t="s">
        <v>1886</v>
      </c>
      <c r="AT523" s="12"/>
      <c r="AU523" s="12" t="s">
        <v>309</v>
      </c>
      <c r="AV523" s="12"/>
      <c r="AW523" s="12"/>
      <c r="AX523" s="12">
        <v>0</v>
      </c>
      <c r="AY523" s="12">
        <v>11161</v>
      </c>
      <c r="AZ523" s="12">
        <v>0</v>
      </c>
      <c r="BA523" s="12" t="s">
        <v>1890</v>
      </c>
      <c r="BB523" s="12" t="s">
        <v>5881</v>
      </c>
      <c r="BC523" s="12" t="s">
        <v>6773</v>
      </c>
      <c r="BD523" s="12"/>
      <c r="BE523" s="12" t="s">
        <v>2291</v>
      </c>
      <c r="BF523" s="12"/>
      <c r="BG523" s="12"/>
      <c r="BH523" s="12"/>
      <c r="BI523" s="12"/>
      <c r="BJ523" s="12"/>
      <c r="BK523" s="12"/>
      <c r="BL523" s="12" t="s">
        <v>2292</v>
      </c>
      <c r="BM523" s="12" t="s">
        <v>2292</v>
      </c>
      <c r="BN523" s="12" t="s">
        <v>2292</v>
      </c>
      <c r="BO523" s="12" t="s">
        <v>2291</v>
      </c>
      <c r="BP523" s="12"/>
      <c r="BQ523" s="12"/>
      <c r="BR523" s="12"/>
      <c r="BS523" s="12"/>
      <c r="BT523" s="12"/>
      <c r="BU523" s="12"/>
      <c r="BV523" s="12"/>
      <c r="BW523" s="12" t="s">
        <v>1891</v>
      </c>
      <c r="BX523" s="12"/>
      <c r="BY523" s="13" t="s">
        <v>313</v>
      </c>
      <c r="BZ523" s="13" t="s">
        <v>6172</v>
      </c>
      <c r="CA523" s="13" t="s">
        <v>6170</v>
      </c>
      <c r="CB523" s="13" t="s">
        <v>6197</v>
      </c>
      <c r="CC523" s="13"/>
      <c r="CD523" s="13" t="s">
        <v>6198</v>
      </c>
      <c r="CE523" s="13"/>
      <c r="CF523" s="13"/>
    </row>
    <row r="524" spans="1:84" ht="18.600000000000001" customHeight="1" x14ac:dyDescent="0.25">
      <c r="A524" s="60" t="s">
        <v>192</v>
      </c>
      <c r="B524" s="2" t="s">
        <v>314</v>
      </c>
      <c r="C524" s="3" t="s">
        <v>2389</v>
      </c>
      <c r="D524" s="12" t="s">
        <v>1894</v>
      </c>
      <c r="E524" s="12" t="s">
        <v>1893</v>
      </c>
      <c r="F524" s="12" t="s">
        <v>3988</v>
      </c>
      <c r="G524" s="25">
        <v>604698</v>
      </c>
      <c r="H524" s="25">
        <v>398774</v>
      </c>
      <c r="I524" s="25">
        <v>49300</v>
      </c>
      <c r="J524" s="25">
        <v>92450</v>
      </c>
      <c r="K524" s="25">
        <v>846275</v>
      </c>
      <c r="L524" s="25">
        <v>631575</v>
      </c>
      <c r="M524" s="25">
        <v>1477850</v>
      </c>
      <c r="N524" s="31">
        <v>0.56999999999999995</v>
      </c>
      <c r="O524" s="25">
        <v>902927</v>
      </c>
      <c r="P524" s="25">
        <v>114720</v>
      </c>
      <c r="Q524" s="25">
        <v>44279</v>
      </c>
      <c r="R524" s="25">
        <v>2083</v>
      </c>
      <c r="S524" s="25">
        <v>7427</v>
      </c>
      <c r="T524" s="25">
        <v>1017</v>
      </c>
      <c r="U524" s="61">
        <v>9363</v>
      </c>
      <c r="V524" s="58">
        <v>6.9999999999999999E-4</v>
      </c>
      <c r="W524" s="33">
        <v>5.9999999999999995E-4</v>
      </c>
      <c r="X524" s="33">
        <v>8.9999999999999998E-4</v>
      </c>
      <c r="Y524" s="33">
        <v>1.1999999999999999E-3</v>
      </c>
      <c r="Z524" s="33">
        <v>6.9999999999999999E-4</v>
      </c>
      <c r="AA524" s="33">
        <v>2.9999999999999997E-4</v>
      </c>
      <c r="AB524" s="25">
        <v>4003</v>
      </c>
      <c r="AC524" s="25">
        <v>1534</v>
      </c>
      <c r="AD524" s="25">
        <v>1447</v>
      </c>
      <c r="AE524" s="25">
        <v>15</v>
      </c>
      <c r="AF524" s="25">
        <v>411</v>
      </c>
      <c r="AG524" s="25">
        <v>536</v>
      </c>
      <c r="AH524" s="25">
        <v>60</v>
      </c>
      <c r="AI524" s="12">
        <v>9.1199999999999992</v>
      </c>
      <c r="AJ524" s="25">
        <v>228197</v>
      </c>
      <c r="AK524" s="25">
        <v>33195</v>
      </c>
      <c r="AL524" s="33">
        <v>0.17019999999999999</v>
      </c>
      <c r="AM524" s="3" t="s">
        <v>2389</v>
      </c>
      <c r="AN524" s="12" t="s">
        <v>1893</v>
      </c>
      <c r="AO524" s="12" t="s">
        <v>1893</v>
      </c>
      <c r="AP524" s="12" t="str">
        <f>"124162787610223"</f>
        <v>124162787610223</v>
      </c>
      <c r="AQ524" s="12" t="s">
        <v>1894</v>
      </c>
      <c r="AR524" s="12" t="s">
        <v>1895</v>
      </c>
      <c r="AS524" s="12" t="s">
        <v>1896</v>
      </c>
      <c r="AT524" s="12"/>
      <c r="AU524" s="12" t="s">
        <v>324</v>
      </c>
      <c r="AV524" s="12" t="s">
        <v>5731</v>
      </c>
      <c r="AW524" s="12"/>
      <c r="AX524" s="12">
        <v>4348</v>
      </c>
      <c r="AY524" s="12">
        <v>4408</v>
      </c>
      <c r="AZ524" s="12">
        <v>4348</v>
      </c>
      <c r="BA524" s="12" t="s">
        <v>1897</v>
      </c>
      <c r="BB524" s="12" t="s">
        <v>6410</v>
      </c>
      <c r="BC524" s="12" t="s">
        <v>6411</v>
      </c>
      <c r="BD524" s="12"/>
      <c r="BE524" s="12" t="s">
        <v>2291</v>
      </c>
      <c r="BF524" s="12" t="s">
        <v>2390</v>
      </c>
      <c r="BG524" s="12"/>
      <c r="BH524" s="12"/>
      <c r="BI524" s="12" t="s">
        <v>2391</v>
      </c>
      <c r="BJ524" s="12" t="s">
        <v>2392</v>
      </c>
      <c r="BK524" s="12"/>
      <c r="BL524" s="12" t="s">
        <v>2292</v>
      </c>
      <c r="BM524" s="12" t="s">
        <v>2292</v>
      </c>
      <c r="BN524" s="12" t="s">
        <v>2292</v>
      </c>
      <c r="BO524" s="12" t="s">
        <v>2292</v>
      </c>
      <c r="BP524" s="12"/>
      <c r="BQ524" s="12"/>
      <c r="BR524" s="12"/>
      <c r="BS524" s="12"/>
      <c r="BT524" s="12" t="s">
        <v>6412</v>
      </c>
      <c r="BU524" s="12" t="s">
        <v>326</v>
      </c>
      <c r="BV524" s="12"/>
      <c r="BW524" s="12" t="s">
        <v>1898</v>
      </c>
      <c r="BX524" s="12"/>
      <c r="BY524" s="13" t="s">
        <v>313</v>
      </c>
      <c r="BZ524" s="13" t="s">
        <v>6171</v>
      </c>
      <c r="CA524" s="13" t="s">
        <v>6170</v>
      </c>
      <c r="CB524" s="13" t="s">
        <v>312</v>
      </c>
      <c r="CC524" s="13"/>
      <c r="CD524" s="13" t="s">
        <v>6198</v>
      </c>
      <c r="CE524" s="13" t="s">
        <v>6175</v>
      </c>
      <c r="CF524" s="13"/>
    </row>
    <row r="525" spans="1:84" ht="18.600000000000001" customHeight="1" x14ac:dyDescent="0.25">
      <c r="A525" s="60" t="s">
        <v>192</v>
      </c>
      <c r="B525" s="2" t="s">
        <v>315</v>
      </c>
      <c r="C525" s="3" t="s">
        <v>2527</v>
      </c>
      <c r="D525" s="12" t="s">
        <v>1900</v>
      </c>
      <c r="E525" s="12" t="s">
        <v>1899</v>
      </c>
      <c r="F525" s="12" t="s">
        <v>4073</v>
      </c>
      <c r="G525" s="25">
        <v>62957</v>
      </c>
      <c r="H525" s="25">
        <v>42753</v>
      </c>
      <c r="I525" s="25">
        <v>1538</v>
      </c>
      <c r="J525" s="25">
        <v>14490</v>
      </c>
      <c r="K525" s="25">
        <v>2334</v>
      </c>
      <c r="L525" s="25">
        <v>1070</v>
      </c>
      <c r="M525" s="25">
        <v>3404</v>
      </c>
      <c r="N525" s="31">
        <v>0.69</v>
      </c>
      <c r="O525" s="25">
        <v>218</v>
      </c>
      <c r="P525" s="25">
        <v>0</v>
      </c>
      <c r="Q525" s="25">
        <v>3650</v>
      </c>
      <c r="R525" s="25">
        <v>222</v>
      </c>
      <c r="S525" s="25">
        <v>107</v>
      </c>
      <c r="T525" s="25">
        <v>73</v>
      </c>
      <c r="U525" s="61">
        <v>123</v>
      </c>
      <c r="V525" s="58">
        <v>2.8E-3</v>
      </c>
      <c r="W525" s="33">
        <v>8.0000000000000004E-4</v>
      </c>
      <c r="X525" s="33">
        <v>2.8999999999999998E-3</v>
      </c>
      <c r="Y525" s="33">
        <v>4.1000000000000003E-3</v>
      </c>
      <c r="Z525" s="33">
        <v>4.0000000000000001E-3</v>
      </c>
      <c r="AA525" s="33">
        <v>2.3E-3</v>
      </c>
      <c r="AB525" s="25">
        <v>932</v>
      </c>
      <c r="AC525" s="25">
        <v>1</v>
      </c>
      <c r="AD525" s="25">
        <v>921</v>
      </c>
      <c r="AE525" s="25">
        <v>1</v>
      </c>
      <c r="AF525" s="25">
        <v>6</v>
      </c>
      <c r="AG525" s="25">
        <v>2</v>
      </c>
      <c r="AH525" s="25">
        <v>1</v>
      </c>
      <c r="AI525" s="12">
        <v>2.12</v>
      </c>
      <c r="AJ525" s="25">
        <v>26597</v>
      </c>
      <c r="AK525" s="25">
        <v>6443</v>
      </c>
      <c r="AL525" s="33">
        <v>0.31969999999999998</v>
      </c>
      <c r="AM525" s="3" t="s">
        <v>2527</v>
      </c>
      <c r="AN525" s="12" t="s">
        <v>1899</v>
      </c>
      <c r="AO525" s="12" t="s">
        <v>1899</v>
      </c>
      <c r="AP525" s="12" t="str">
        <f>"365201546985565"</f>
        <v>365201546985565</v>
      </c>
      <c r="AQ525" s="12" t="s">
        <v>1900</v>
      </c>
      <c r="AR525" s="12" t="s">
        <v>1901</v>
      </c>
      <c r="AS525" s="12" t="s">
        <v>1902</v>
      </c>
      <c r="AT525" s="12"/>
      <c r="AU525" s="12" t="s">
        <v>4561</v>
      </c>
      <c r="AV525" s="12"/>
      <c r="AW525" s="12"/>
      <c r="AX525" s="12">
        <v>0</v>
      </c>
      <c r="AY525" s="12">
        <v>624</v>
      </c>
      <c r="AZ525" s="12">
        <v>0</v>
      </c>
      <c r="BA525" s="12" t="s">
        <v>1903</v>
      </c>
      <c r="BB525" s="12"/>
      <c r="BC525" s="12" t="s">
        <v>6593</v>
      </c>
      <c r="BD525" s="12"/>
      <c r="BE525" s="12" t="s">
        <v>2291</v>
      </c>
      <c r="BF525" s="12"/>
      <c r="BG525" s="12"/>
      <c r="BH525" s="12"/>
      <c r="BI525" s="12"/>
      <c r="BJ525" s="12"/>
      <c r="BK525" s="12"/>
      <c r="BL525" s="12" t="s">
        <v>2292</v>
      </c>
      <c r="BM525" s="12" t="s">
        <v>2292</v>
      </c>
      <c r="BN525" s="12" t="s">
        <v>2292</v>
      </c>
      <c r="BO525" s="12" t="s">
        <v>2292</v>
      </c>
      <c r="BP525" s="12"/>
      <c r="BQ525" s="12"/>
      <c r="BR525" s="12"/>
      <c r="BS525" s="12"/>
      <c r="BT525" s="12"/>
      <c r="BU525" s="12"/>
      <c r="BV525" s="12"/>
      <c r="BW525" s="12"/>
      <c r="BX525" s="12"/>
      <c r="BY525" s="13" t="s">
        <v>313</v>
      </c>
      <c r="BZ525" s="13" t="s">
        <v>6171</v>
      </c>
      <c r="CA525" s="13" t="s">
        <v>6170</v>
      </c>
      <c r="CB525" s="13" t="s">
        <v>6197</v>
      </c>
      <c r="CC525" s="13"/>
      <c r="CD525" s="13" t="s">
        <v>6198</v>
      </c>
      <c r="CE525" s="13"/>
      <c r="CF525" s="13"/>
    </row>
    <row r="526" spans="1:84" ht="18.600000000000001" customHeight="1" x14ac:dyDescent="0.25">
      <c r="A526" s="60" t="s">
        <v>192</v>
      </c>
      <c r="B526" s="2" t="s">
        <v>1908</v>
      </c>
      <c r="C526" s="3" t="s">
        <v>2673</v>
      </c>
      <c r="D526" s="12" t="s">
        <v>3614</v>
      </c>
      <c r="E526" s="12" t="s">
        <v>1904</v>
      </c>
      <c r="F526" s="12" t="s">
        <v>4163</v>
      </c>
      <c r="G526" s="25">
        <v>26966</v>
      </c>
      <c r="H526" s="25">
        <v>22805</v>
      </c>
      <c r="I526" s="25">
        <v>710</v>
      </c>
      <c r="J526" s="25">
        <v>834</v>
      </c>
      <c r="K526" s="25">
        <v>2910</v>
      </c>
      <c r="L526" s="25">
        <v>187</v>
      </c>
      <c r="M526" s="25">
        <v>3097</v>
      </c>
      <c r="N526" s="31">
        <v>0.94</v>
      </c>
      <c r="O526" s="25">
        <v>12030</v>
      </c>
      <c r="P526" s="25">
        <v>0</v>
      </c>
      <c r="Q526" s="25">
        <v>2242</v>
      </c>
      <c r="R526" s="25">
        <v>128</v>
      </c>
      <c r="S526" s="25">
        <v>74</v>
      </c>
      <c r="T526" s="25">
        <v>80</v>
      </c>
      <c r="U526" s="61">
        <v>93</v>
      </c>
      <c r="V526" s="58">
        <v>4.0000000000000001E-3</v>
      </c>
      <c r="W526" s="33">
        <v>4.0000000000000001E-3</v>
      </c>
      <c r="X526" s="33">
        <v>3.7000000000000002E-3</v>
      </c>
      <c r="Y526" s="33">
        <v>6.7000000000000002E-3</v>
      </c>
      <c r="Z526" s="33">
        <v>6.4999999999999997E-3</v>
      </c>
      <c r="AA526" s="33">
        <v>2.0999999999999999E-3</v>
      </c>
      <c r="AB526" s="25">
        <v>694</v>
      </c>
      <c r="AC526" s="25">
        <v>411</v>
      </c>
      <c r="AD526" s="25">
        <v>196</v>
      </c>
      <c r="AE526" s="25">
        <v>38</v>
      </c>
      <c r="AF526" s="25">
        <v>6</v>
      </c>
      <c r="AG526" s="25">
        <v>37</v>
      </c>
      <c r="AH526" s="25">
        <v>6</v>
      </c>
      <c r="AI526" s="12">
        <v>1.58</v>
      </c>
      <c r="AJ526" s="25">
        <v>9648</v>
      </c>
      <c r="AK526" s="25">
        <v>421</v>
      </c>
      <c r="AL526" s="33">
        <v>4.5600000000000002E-2</v>
      </c>
      <c r="AM526" s="3" t="s">
        <v>2673</v>
      </c>
      <c r="AN526" s="12" t="s">
        <v>1904</v>
      </c>
      <c r="AO526" s="12" t="s">
        <v>1904</v>
      </c>
      <c r="AP526" s="12" t="str">
        <f>"276990372506357"</f>
        <v>276990372506357</v>
      </c>
      <c r="AQ526" s="12" t="s">
        <v>3614</v>
      </c>
      <c r="AR526" s="12" t="s">
        <v>1905</v>
      </c>
      <c r="AS526" s="12" t="s">
        <v>1906</v>
      </c>
      <c r="AT526" s="12" t="s">
        <v>2674</v>
      </c>
      <c r="AU526" s="12" t="s">
        <v>424</v>
      </c>
      <c r="AV526" s="12"/>
      <c r="AW526" s="12"/>
      <c r="AX526" s="12">
        <v>0</v>
      </c>
      <c r="AY526" s="12">
        <v>176</v>
      </c>
      <c r="AZ526" s="12">
        <v>0</v>
      </c>
      <c r="BA526" s="12" t="s">
        <v>1907</v>
      </c>
      <c r="BB526" s="12"/>
      <c r="BC526" s="12" t="s">
        <v>6795</v>
      </c>
      <c r="BD526" s="12"/>
      <c r="BE526" s="12" t="s">
        <v>2291</v>
      </c>
      <c r="BF526" s="12"/>
      <c r="BG526" s="12"/>
      <c r="BH526" s="12"/>
      <c r="BI526" s="12"/>
      <c r="BJ526" s="12"/>
      <c r="BK526" s="12"/>
      <c r="BL526" s="12" t="s">
        <v>2292</v>
      </c>
      <c r="BM526" s="12" t="s">
        <v>2292</v>
      </c>
      <c r="BN526" s="12" t="s">
        <v>2292</v>
      </c>
      <c r="BO526" s="12" t="s">
        <v>2292</v>
      </c>
      <c r="BP526" s="12"/>
      <c r="BQ526" s="12"/>
      <c r="BR526" s="12"/>
      <c r="BS526" s="12"/>
      <c r="BT526" s="12"/>
      <c r="BU526" s="12"/>
      <c r="BV526" s="12"/>
      <c r="BW526" s="12"/>
      <c r="BX526" s="12"/>
      <c r="BY526" s="13" t="s">
        <v>313</v>
      </c>
      <c r="BZ526" s="13" t="s">
        <v>6170</v>
      </c>
      <c r="CA526" s="13" t="s">
        <v>6170</v>
      </c>
      <c r="CB526" s="13" t="s">
        <v>312</v>
      </c>
      <c r="CC526" s="13"/>
      <c r="CD526" s="13" t="s">
        <v>6198</v>
      </c>
      <c r="CE526" s="13"/>
      <c r="CF526" s="13"/>
    </row>
    <row r="527" spans="1:84" ht="18.600000000000001" customHeight="1" x14ac:dyDescent="0.25">
      <c r="A527" s="60" t="s">
        <v>192</v>
      </c>
      <c r="B527" s="2" t="s">
        <v>335</v>
      </c>
      <c r="C527" s="3" t="s">
        <v>3904</v>
      </c>
      <c r="D527" s="12" t="s">
        <v>3636</v>
      </c>
      <c r="E527" s="12" t="s">
        <v>3635</v>
      </c>
      <c r="F527" s="12" t="s">
        <v>3984</v>
      </c>
      <c r="G527" s="25">
        <v>48924</v>
      </c>
      <c r="H527" s="25">
        <v>34209</v>
      </c>
      <c r="I527" s="25">
        <v>1916</v>
      </c>
      <c r="J527" s="25">
        <v>8785</v>
      </c>
      <c r="K527" s="25">
        <v>36533</v>
      </c>
      <c r="L527" s="25">
        <v>42721</v>
      </c>
      <c r="M527" s="25">
        <v>79254</v>
      </c>
      <c r="N527" s="31">
        <v>0.46</v>
      </c>
      <c r="O527" s="25">
        <v>12884</v>
      </c>
      <c r="P527" s="25">
        <v>1974</v>
      </c>
      <c r="Q527" s="25">
        <v>3389</v>
      </c>
      <c r="R527" s="25">
        <v>120</v>
      </c>
      <c r="S527" s="25">
        <v>51</v>
      </c>
      <c r="T527" s="25">
        <v>144</v>
      </c>
      <c r="U527" s="61">
        <v>310</v>
      </c>
      <c r="V527" s="58">
        <v>2E-3</v>
      </c>
      <c r="W527" s="33">
        <v>2E-3</v>
      </c>
      <c r="X527" s="33">
        <v>1.4E-3</v>
      </c>
      <c r="Y527" s="33">
        <v>2.2000000000000001E-3</v>
      </c>
      <c r="Z527" s="33">
        <v>3.2000000000000002E-3</v>
      </c>
      <c r="AA527" s="33">
        <v>1E-3</v>
      </c>
      <c r="AB527" s="25">
        <v>1271</v>
      </c>
      <c r="AC527" s="25">
        <v>914</v>
      </c>
      <c r="AD527" s="25">
        <v>67</v>
      </c>
      <c r="AE527" s="25">
        <v>167</v>
      </c>
      <c r="AF527" s="25">
        <v>62</v>
      </c>
      <c r="AG527" s="25">
        <v>40</v>
      </c>
      <c r="AH527" s="25">
        <v>21</v>
      </c>
      <c r="AI527" s="12">
        <v>2.9</v>
      </c>
      <c r="AJ527" s="25">
        <v>23167</v>
      </c>
      <c r="AK527" s="25">
        <v>7693</v>
      </c>
      <c r="AL527" s="33">
        <v>0.49719999999999998</v>
      </c>
      <c r="AM527" s="3" t="s">
        <v>3904</v>
      </c>
      <c r="AN527" s="12" t="s">
        <v>3635</v>
      </c>
      <c r="AO527" s="12" t="s">
        <v>3635</v>
      </c>
      <c r="AP527" s="12" t="str">
        <f>"646166248837356"</f>
        <v>646166248837356</v>
      </c>
      <c r="AQ527" s="12" t="s">
        <v>3636</v>
      </c>
      <c r="AR527" s="12" t="s">
        <v>1905</v>
      </c>
      <c r="AS527" s="12" t="s">
        <v>2746</v>
      </c>
      <c r="AT527" s="12"/>
      <c r="AU527" s="12" t="s">
        <v>324</v>
      </c>
      <c r="AV527" s="12" t="s">
        <v>6390</v>
      </c>
      <c r="AW527" s="12"/>
      <c r="AX527" s="12">
        <v>971</v>
      </c>
      <c r="AY527" s="12">
        <v>943</v>
      </c>
      <c r="AZ527" s="12">
        <v>971</v>
      </c>
      <c r="BA527" s="12" t="s">
        <v>3637</v>
      </c>
      <c r="BB527" s="12" t="s">
        <v>6391</v>
      </c>
      <c r="BC527" s="12" t="s">
        <v>6392</v>
      </c>
      <c r="BD527" s="12"/>
      <c r="BE527" s="12" t="s">
        <v>2291</v>
      </c>
      <c r="BF527" s="12"/>
      <c r="BG527" s="12"/>
      <c r="BH527" s="12"/>
      <c r="BI527" s="12" t="s">
        <v>2747</v>
      </c>
      <c r="BJ527" s="12"/>
      <c r="BK527" s="12" t="s">
        <v>6393</v>
      </c>
      <c r="BL527" s="12" t="s">
        <v>2292</v>
      </c>
      <c r="BM527" s="12" t="s">
        <v>2292</v>
      </c>
      <c r="BN527" s="12" t="s">
        <v>2292</v>
      </c>
      <c r="BO527" s="12" t="s">
        <v>2292</v>
      </c>
      <c r="BP527" s="12" t="s">
        <v>1909</v>
      </c>
      <c r="BQ527" s="12"/>
      <c r="BR527" s="12"/>
      <c r="BS527" s="12"/>
      <c r="BT527" s="12" t="s">
        <v>1910</v>
      </c>
      <c r="BU527" s="12" t="s">
        <v>326</v>
      </c>
      <c r="BV527" s="12"/>
      <c r="BW527" s="12" t="s">
        <v>5248</v>
      </c>
      <c r="BX527" s="12"/>
      <c r="BY527" s="13" t="s">
        <v>313</v>
      </c>
      <c r="BZ527" s="13" t="s">
        <v>6170</v>
      </c>
      <c r="CA527" s="13" t="s">
        <v>6170</v>
      </c>
      <c r="CB527" s="13" t="s">
        <v>6201</v>
      </c>
      <c r="CC527" s="13"/>
      <c r="CD527" s="13" t="s">
        <v>6198</v>
      </c>
      <c r="CE527" s="13"/>
      <c r="CF527" s="13"/>
    </row>
    <row r="528" spans="1:84" ht="18.600000000000001" customHeight="1" x14ac:dyDescent="0.25">
      <c r="A528" s="60" t="s">
        <v>193</v>
      </c>
      <c r="B528" s="2" t="s">
        <v>1916</v>
      </c>
      <c r="C528" s="3" t="s">
        <v>2903</v>
      </c>
      <c r="D528" s="12" t="s">
        <v>1911</v>
      </c>
      <c r="E528" s="12" t="s">
        <v>1912</v>
      </c>
      <c r="F528" s="12" t="s">
        <v>4306</v>
      </c>
      <c r="G528" s="25">
        <v>9859</v>
      </c>
      <c r="H528" s="25">
        <v>6568</v>
      </c>
      <c r="I528" s="25">
        <v>623</v>
      </c>
      <c r="J528" s="25">
        <v>1911</v>
      </c>
      <c r="K528" s="25">
        <v>4157</v>
      </c>
      <c r="L528" s="25">
        <v>685</v>
      </c>
      <c r="M528" s="25">
        <v>4842</v>
      </c>
      <c r="N528" s="31">
        <v>0.86</v>
      </c>
      <c r="O528" s="25">
        <v>5788</v>
      </c>
      <c r="P528" s="25">
        <v>0</v>
      </c>
      <c r="Q528" s="25">
        <v>642</v>
      </c>
      <c r="R528" s="25">
        <v>21</v>
      </c>
      <c r="S528" s="25">
        <v>26</v>
      </c>
      <c r="T528" s="25">
        <v>25</v>
      </c>
      <c r="U528" s="61">
        <v>43</v>
      </c>
      <c r="V528" s="58">
        <v>4.0000000000000001E-3</v>
      </c>
      <c r="W528" s="33">
        <v>9.1999999999999998E-3</v>
      </c>
      <c r="X528" s="33">
        <v>3.5000000000000001E-3</v>
      </c>
      <c r="Y528" s="12" t="s">
        <v>3926</v>
      </c>
      <c r="Z528" s="33">
        <v>3.0999999999999999E-3</v>
      </c>
      <c r="AA528" s="12" t="s">
        <v>3926</v>
      </c>
      <c r="AB528" s="25">
        <v>44</v>
      </c>
      <c r="AC528" s="25">
        <v>4</v>
      </c>
      <c r="AD528" s="25">
        <v>32</v>
      </c>
      <c r="AE528" s="25">
        <v>0</v>
      </c>
      <c r="AF528" s="25">
        <v>3</v>
      </c>
      <c r="AG528" s="25">
        <v>5</v>
      </c>
      <c r="AH528" s="25">
        <v>0</v>
      </c>
      <c r="AI528" s="12">
        <v>0.1</v>
      </c>
      <c r="AJ528" s="25">
        <v>59138</v>
      </c>
      <c r="AK528" s="25">
        <v>4287</v>
      </c>
      <c r="AL528" s="33">
        <v>7.8200000000000006E-2</v>
      </c>
      <c r="AM528" s="3" t="s">
        <v>2903</v>
      </c>
      <c r="AN528" s="12" t="s">
        <v>1912</v>
      </c>
      <c r="AO528" s="12" t="s">
        <v>1912</v>
      </c>
      <c r="AP528" s="12" t="str">
        <f>"198887700111"</f>
        <v>198887700111</v>
      </c>
      <c r="AQ528" s="12" t="s">
        <v>1911</v>
      </c>
      <c r="AR528" s="12" t="s">
        <v>1913</v>
      </c>
      <c r="AS528" s="12" t="s">
        <v>1914</v>
      </c>
      <c r="AT528" s="12"/>
      <c r="AU528" s="12" t="s">
        <v>309</v>
      </c>
      <c r="AV528" s="12"/>
      <c r="AW528" s="12"/>
      <c r="AX528" s="12">
        <v>0</v>
      </c>
      <c r="AY528" s="12">
        <v>657</v>
      </c>
      <c r="AZ528" s="12">
        <v>0</v>
      </c>
      <c r="BA528" s="12" t="s">
        <v>1915</v>
      </c>
      <c r="BB528" s="12"/>
      <c r="BC528" s="12" t="s">
        <v>7119</v>
      </c>
      <c r="BD528" s="12"/>
      <c r="BE528" s="12" t="s">
        <v>2291</v>
      </c>
      <c r="BF528" s="12"/>
      <c r="BG528" s="12"/>
      <c r="BH528" s="12"/>
      <c r="BI528" s="12"/>
      <c r="BJ528" s="12"/>
      <c r="BK528" s="12"/>
      <c r="BL528" s="12" t="s">
        <v>2292</v>
      </c>
      <c r="BM528" s="12" t="s">
        <v>2292</v>
      </c>
      <c r="BN528" s="12" t="s">
        <v>2292</v>
      </c>
      <c r="BO528" s="12" t="s">
        <v>2292</v>
      </c>
      <c r="BP528" s="12"/>
      <c r="BQ528" s="12"/>
      <c r="BR528" s="12"/>
      <c r="BS528" s="12"/>
      <c r="BT528" s="12"/>
      <c r="BU528" s="12"/>
      <c r="BV528" s="12"/>
      <c r="BW528" s="12"/>
      <c r="BX528" s="12"/>
      <c r="BY528" s="13" t="s">
        <v>313</v>
      </c>
      <c r="BZ528" s="13" t="s">
        <v>6170</v>
      </c>
      <c r="CA528" s="13" t="s">
        <v>6170</v>
      </c>
      <c r="CB528" s="13" t="s">
        <v>312</v>
      </c>
      <c r="CC528" s="13"/>
      <c r="CD528" s="13" t="s">
        <v>6198</v>
      </c>
      <c r="CE528" s="13"/>
      <c r="CF528" s="13"/>
    </row>
    <row r="529" spans="1:84" ht="18.600000000000001" customHeight="1" x14ac:dyDescent="0.25">
      <c r="A529" s="60" t="s">
        <v>193</v>
      </c>
      <c r="B529" s="2" t="s">
        <v>335</v>
      </c>
      <c r="C529" s="3" t="s">
        <v>2410</v>
      </c>
      <c r="D529" s="12" t="s">
        <v>1917</v>
      </c>
      <c r="E529" s="12" t="s">
        <v>194</v>
      </c>
      <c r="F529" s="12" t="s">
        <v>3999</v>
      </c>
      <c r="G529" s="25">
        <v>56367</v>
      </c>
      <c r="H529" s="25">
        <v>39675</v>
      </c>
      <c r="I529" s="25">
        <v>698</v>
      </c>
      <c r="J529" s="25">
        <v>13712</v>
      </c>
      <c r="K529" s="25">
        <v>7793</v>
      </c>
      <c r="L529" s="25">
        <v>12587</v>
      </c>
      <c r="M529" s="25">
        <v>20380</v>
      </c>
      <c r="N529" s="31">
        <v>0.38</v>
      </c>
      <c r="O529" s="25">
        <v>1498</v>
      </c>
      <c r="P529" s="25">
        <v>0</v>
      </c>
      <c r="Q529" s="25">
        <v>2043</v>
      </c>
      <c r="R529" s="25">
        <v>44</v>
      </c>
      <c r="S529" s="25">
        <v>37</v>
      </c>
      <c r="T529" s="25">
        <v>101</v>
      </c>
      <c r="U529" s="61">
        <v>53</v>
      </c>
      <c r="V529" s="58">
        <v>2.8999999999999998E-3</v>
      </c>
      <c r="W529" s="33">
        <v>2.8E-3</v>
      </c>
      <c r="X529" s="33">
        <v>3.0999999999999999E-3</v>
      </c>
      <c r="Y529" s="12" t="s">
        <v>3926</v>
      </c>
      <c r="Z529" s="33">
        <v>4.5999999999999999E-3</v>
      </c>
      <c r="AA529" s="33">
        <v>2.2000000000000001E-3</v>
      </c>
      <c r="AB529" s="25">
        <v>1128</v>
      </c>
      <c r="AC529" s="25">
        <v>642</v>
      </c>
      <c r="AD529" s="25">
        <v>436</v>
      </c>
      <c r="AE529" s="25">
        <v>0</v>
      </c>
      <c r="AF529" s="25">
        <v>29</v>
      </c>
      <c r="AG529" s="25">
        <v>6</v>
      </c>
      <c r="AH529" s="25">
        <v>15</v>
      </c>
      <c r="AI529" s="12">
        <v>2.57</v>
      </c>
      <c r="AJ529" s="25">
        <v>20105</v>
      </c>
      <c r="AK529" s="25">
        <v>6893</v>
      </c>
      <c r="AL529" s="33">
        <v>0.52170000000000005</v>
      </c>
      <c r="AM529" s="3" t="s">
        <v>2410</v>
      </c>
      <c r="AN529" s="12" t="s">
        <v>194</v>
      </c>
      <c r="AO529" s="12" t="s">
        <v>194</v>
      </c>
      <c r="AP529" s="12" t="str">
        <f>"461894943928032"</f>
        <v>461894943928032</v>
      </c>
      <c r="AQ529" s="12" t="s">
        <v>1917</v>
      </c>
      <c r="AR529" s="12" t="s">
        <v>3401</v>
      </c>
      <c r="AS529" s="12" t="s">
        <v>1918</v>
      </c>
      <c r="AT529" s="12"/>
      <c r="AU529" s="12" t="s">
        <v>324</v>
      </c>
      <c r="AV529" s="12" t="s">
        <v>5731</v>
      </c>
      <c r="AW529" s="12" t="s">
        <v>3270</v>
      </c>
      <c r="AX529" s="12">
        <v>482</v>
      </c>
      <c r="AY529" s="12">
        <v>208</v>
      </c>
      <c r="AZ529" s="12">
        <v>482</v>
      </c>
      <c r="BA529" s="12" t="s">
        <v>1919</v>
      </c>
      <c r="BB529" s="12" t="s">
        <v>6431</v>
      </c>
      <c r="BC529" s="12" t="s">
        <v>6432</v>
      </c>
      <c r="BD529" s="12"/>
      <c r="BE529" s="12" t="s">
        <v>2291</v>
      </c>
      <c r="BF529" s="12"/>
      <c r="BG529" s="12"/>
      <c r="BH529" s="12"/>
      <c r="BI529" s="12" t="s">
        <v>3271</v>
      </c>
      <c r="BJ529" s="12" t="s">
        <v>1920</v>
      </c>
      <c r="BK529" s="12"/>
      <c r="BL529" s="12" t="s">
        <v>2292</v>
      </c>
      <c r="BM529" s="12" t="s">
        <v>2292</v>
      </c>
      <c r="BN529" s="12" t="s">
        <v>2292</v>
      </c>
      <c r="BO529" s="12" t="s">
        <v>2292</v>
      </c>
      <c r="BP529" s="12" t="s">
        <v>1921</v>
      </c>
      <c r="BQ529" s="12"/>
      <c r="BR529" s="12"/>
      <c r="BS529" s="12"/>
      <c r="BT529" s="12"/>
      <c r="BU529" s="12" t="s">
        <v>326</v>
      </c>
      <c r="BV529" s="12"/>
      <c r="BW529" s="12" t="s">
        <v>3272</v>
      </c>
      <c r="BX529" s="12"/>
      <c r="BY529" s="13" t="s">
        <v>313</v>
      </c>
      <c r="BZ529" s="13" t="s">
        <v>6174</v>
      </c>
      <c r="CA529" s="13" t="s">
        <v>6170</v>
      </c>
      <c r="CB529" s="13" t="s">
        <v>6201</v>
      </c>
      <c r="CC529" s="13"/>
      <c r="CD529" s="13" t="s">
        <v>6198</v>
      </c>
      <c r="CE529" s="13"/>
      <c r="CF529" s="13"/>
    </row>
    <row r="530" spans="1:84" ht="18.600000000000001" customHeight="1" x14ac:dyDescent="0.25">
      <c r="A530" s="60" t="s">
        <v>195</v>
      </c>
      <c r="B530" s="2" t="s">
        <v>1932</v>
      </c>
      <c r="C530" s="3" t="s">
        <v>3011</v>
      </c>
      <c r="D530" s="12" t="s">
        <v>1922</v>
      </c>
      <c r="E530" s="12" t="s">
        <v>1924</v>
      </c>
      <c r="F530" s="12" t="s">
        <v>4375</v>
      </c>
      <c r="G530" s="25">
        <v>369701</v>
      </c>
      <c r="H530" s="25">
        <v>149482</v>
      </c>
      <c r="I530" s="25">
        <v>98820</v>
      </c>
      <c r="J530" s="25">
        <v>68429</v>
      </c>
      <c r="K530" s="25">
        <v>1789855</v>
      </c>
      <c r="L530" s="25">
        <v>1223979</v>
      </c>
      <c r="M530" s="25">
        <v>3013834</v>
      </c>
      <c r="N530" s="31">
        <v>0.59</v>
      </c>
      <c r="O530" s="25">
        <v>132637</v>
      </c>
      <c r="P530" s="25">
        <v>820232</v>
      </c>
      <c r="Q530" s="25">
        <v>36292</v>
      </c>
      <c r="R530" s="25">
        <v>2271</v>
      </c>
      <c r="S530" s="25">
        <v>1441</v>
      </c>
      <c r="T530" s="25">
        <v>12379</v>
      </c>
      <c r="U530" s="61">
        <v>570</v>
      </c>
      <c r="V530" s="58">
        <v>1.41E-2</v>
      </c>
      <c r="W530" s="33">
        <v>1.09E-2</v>
      </c>
      <c r="X530" s="33">
        <v>4.0000000000000001E-3</v>
      </c>
      <c r="Y530" s="33">
        <v>3.1099999999999999E-2</v>
      </c>
      <c r="Z530" s="33">
        <v>1.72E-2</v>
      </c>
      <c r="AA530" s="33">
        <v>1.6000000000000001E-3</v>
      </c>
      <c r="AB530" s="25">
        <v>891</v>
      </c>
      <c r="AC530" s="25">
        <v>257</v>
      </c>
      <c r="AD530" s="25">
        <v>72</v>
      </c>
      <c r="AE530" s="25">
        <v>71</v>
      </c>
      <c r="AF530" s="25">
        <v>404</v>
      </c>
      <c r="AG530" s="25">
        <v>71</v>
      </c>
      <c r="AH530" s="25">
        <v>16</v>
      </c>
      <c r="AI530" s="12">
        <v>2.0299999999999998</v>
      </c>
      <c r="AJ530" s="25">
        <v>41385</v>
      </c>
      <c r="AK530" s="25">
        <v>21862</v>
      </c>
      <c r="AL530" s="33">
        <v>1.1197999999999999</v>
      </c>
      <c r="AM530" s="3" t="s">
        <v>3011</v>
      </c>
      <c r="AN530" s="12" t="s">
        <v>1924</v>
      </c>
      <c r="AO530" s="12" t="s">
        <v>1924</v>
      </c>
      <c r="AP530" s="12" t="str">
        <f>"301127620029099"</f>
        <v>301127620029099</v>
      </c>
      <c r="AQ530" s="12" t="s">
        <v>1922</v>
      </c>
      <c r="AR530" s="12" t="s">
        <v>1925</v>
      </c>
      <c r="AS530" s="12" t="s">
        <v>1926</v>
      </c>
      <c r="AT530" s="12" t="s">
        <v>3012</v>
      </c>
      <c r="AU530" s="12" t="s">
        <v>309</v>
      </c>
      <c r="AV530" s="12" t="s">
        <v>5802</v>
      </c>
      <c r="AW530" s="12"/>
      <c r="AX530" s="12">
        <v>1</v>
      </c>
      <c r="AY530" s="12">
        <v>863</v>
      </c>
      <c r="AZ530" s="12">
        <v>0</v>
      </c>
      <c r="BA530" s="12" t="s">
        <v>1927</v>
      </c>
      <c r="BB530" s="12" t="s">
        <v>7275</v>
      </c>
      <c r="BC530" s="12" t="s">
        <v>7276</v>
      </c>
      <c r="BD530" s="12" t="s">
        <v>1928</v>
      </c>
      <c r="BE530" s="12" t="s">
        <v>2291</v>
      </c>
      <c r="BF530" s="12"/>
      <c r="BG530" s="12"/>
      <c r="BH530" s="12"/>
      <c r="BI530" s="12" t="s">
        <v>1923</v>
      </c>
      <c r="BJ530" s="12"/>
      <c r="BK530" s="12"/>
      <c r="BL530" s="12" t="s">
        <v>2292</v>
      </c>
      <c r="BM530" s="12" t="s">
        <v>2292</v>
      </c>
      <c r="BN530" s="12" t="s">
        <v>2292</v>
      </c>
      <c r="BO530" s="12" t="s">
        <v>2291</v>
      </c>
      <c r="BP530" s="12"/>
      <c r="BQ530" s="12"/>
      <c r="BR530" s="12" t="s">
        <v>1929</v>
      </c>
      <c r="BS530" s="12"/>
      <c r="BT530" s="12" t="s">
        <v>1930</v>
      </c>
      <c r="BU530" s="12" t="s">
        <v>326</v>
      </c>
      <c r="BV530" s="12"/>
      <c r="BW530" s="12" t="s">
        <v>1931</v>
      </c>
      <c r="BX530" s="12"/>
      <c r="BY530" s="13" t="s">
        <v>313</v>
      </c>
      <c r="BZ530" s="13" t="s">
        <v>6172</v>
      </c>
      <c r="CA530" s="13" t="s">
        <v>6170</v>
      </c>
      <c r="CB530" s="13" t="s">
        <v>6202</v>
      </c>
      <c r="CC530" s="13" t="s">
        <v>6187</v>
      </c>
      <c r="CD530" s="13" t="s">
        <v>6195</v>
      </c>
      <c r="CE530" s="13"/>
      <c r="CF530" s="13"/>
    </row>
    <row r="531" spans="1:84" ht="18.600000000000001" customHeight="1" x14ac:dyDescent="0.25">
      <c r="A531" s="60" t="s">
        <v>195</v>
      </c>
      <c r="B531" s="2" t="s">
        <v>315</v>
      </c>
      <c r="C531" s="3" t="s">
        <v>3162</v>
      </c>
      <c r="D531" s="12" t="s">
        <v>3151</v>
      </c>
      <c r="E531" s="12" t="s">
        <v>3295</v>
      </c>
      <c r="F531" s="12" t="s">
        <v>4071</v>
      </c>
      <c r="G531" s="25">
        <v>8421</v>
      </c>
      <c r="H531" s="25">
        <v>4053</v>
      </c>
      <c r="I531" s="25">
        <v>447</v>
      </c>
      <c r="J531" s="25">
        <v>3520</v>
      </c>
      <c r="K531" s="25">
        <v>98122</v>
      </c>
      <c r="L531" s="25">
        <v>154163</v>
      </c>
      <c r="M531" s="25">
        <v>252285</v>
      </c>
      <c r="N531" s="31">
        <v>0.39</v>
      </c>
      <c r="O531" s="25">
        <v>5652</v>
      </c>
      <c r="P531" s="25">
        <v>1744</v>
      </c>
      <c r="Q531" s="25">
        <v>363</v>
      </c>
      <c r="R531" s="25">
        <v>12</v>
      </c>
      <c r="S531" s="25">
        <v>8</v>
      </c>
      <c r="T531" s="25">
        <v>18</v>
      </c>
      <c r="U531" s="61">
        <v>0</v>
      </c>
      <c r="V531" s="58">
        <v>2.8999999999999998E-3</v>
      </c>
      <c r="W531" s="33">
        <v>3.5999999999999999E-3</v>
      </c>
      <c r="X531" s="33">
        <v>8.0000000000000004E-4</v>
      </c>
      <c r="Y531" s="33">
        <v>2.3E-3</v>
      </c>
      <c r="Z531" s="33">
        <v>5.7999999999999996E-3</v>
      </c>
      <c r="AA531" s="33">
        <v>2.9999999999999997E-4</v>
      </c>
      <c r="AB531" s="25">
        <v>734</v>
      </c>
      <c r="AC531" s="25">
        <v>72</v>
      </c>
      <c r="AD531" s="25">
        <v>255</v>
      </c>
      <c r="AE531" s="25">
        <v>22</v>
      </c>
      <c r="AF531" s="25">
        <v>265</v>
      </c>
      <c r="AG531" s="25">
        <v>23</v>
      </c>
      <c r="AH531" s="25">
        <v>97</v>
      </c>
      <c r="AI531" s="12">
        <v>1.67</v>
      </c>
      <c r="AJ531" s="25">
        <v>4566</v>
      </c>
      <c r="AK531" s="25">
        <v>1328</v>
      </c>
      <c r="AL531" s="33">
        <v>0.41010000000000002</v>
      </c>
      <c r="AM531" s="3" t="s">
        <v>3162</v>
      </c>
      <c r="AN531" s="12" t="s">
        <v>3295</v>
      </c>
      <c r="AO531" s="12" t="s">
        <v>3295</v>
      </c>
      <c r="AP531" s="12" t="str">
        <f>"917070731643123"</f>
        <v>917070731643123</v>
      </c>
      <c r="AQ531" s="12" t="s">
        <v>3151</v>
      </c>
      <c r="AR531" s="12" t="s">
        <v>3296</v>
      </c>
      <c r="AS531" s="12" t="s">
        <v>3297</v>
      </c>
      <c r="AT531" s="12"/>
      <c r="AU531" s="12" t="s">
        <v>4561</v>
      </c>
      <c r="AV531" s="12" t="s">
        <v>5829</v>
      </c>
      <c r="AW531" s="12"/>
      <c r="AX531" s="12">
        <v>6</v>
      </c>
      <c r="AY531" s="12">
        <v>101</v>
      </c>
      <c r="AZ531" s="12">
        <v>6</v>
      </c>
      <c r="BA531" s="12" t="s">
        <v>3298</v>
      </c>
      <c r="BB531" s="12" t="s">
        <v>6589</v>
      </c>
      <c r="BC531" s="12" t="s">
        <v>6590</v>
      </c>
      <c r="BD531" s="12"/>
      <c r="BE531" s="12" t="s">
        <v>2291</v>
      </c>
      <c r="BF531" s="12"/>
      <c r="BG531" s="12"/>
      <c r="BH531" s="12"/>
      <c r="BI531" s="12" t="s">
        <v>3299</v>
      </c>
      <c r="BJ531" s="12"/>
      <c r="BK531" s="12"/>
      <c r="BL531" s="12" t="s">
        <v>2292</v>
      </c>
      <c r="BM531" s="12" t="s">
        <v>2292</v>
      </c>
      <c r="BN531" s="12" t="s">
        <v>2292</v>
      </c>
      <c r="BO531" s="12" t="s">
        <v>2292</v>
      </c>
      <c r="BP531" s="12"/>
      <c r="BQ531" s="12"/>
      <c r="BR531" s="12"/>
      <c r="BS531" s="12"/>
      <c r="BT531" s="12">
        <v>7672663222</v>
      </c>
      <c r="BU531" s="12" t="s">
        <v>326</v>
      </c>
      <c r="BV531" s="12" t="s">
        <v>3300</v>
      </c>
      <c r="BW531" s="12" t="s">
        <v>3301</v>
      </c>
      <c r="BX531" s="12"/>
      <c r="BY531" s="13" t="s">
        <v>313</v>
      </c>
      <c r="BZ531" s="13" t="s">
        <v>6174</v>
      </c>
      <c r="CA531" s="13" t="s">
        <v>6170</v>
      </c>
      <c r="CB531" s="13" t="s">
        <v>312</v>
      </c>
      <c r="CC531" s="13"/>
      <c r="CD531" s="13" t="s">
        <v>6198</v>
      </c>
      <c r="CE531" s="13"/>
      <c r="CF531" s="13"/>
    </row>
    <row r="532" spans="1:84" ht="18.600000000000001" customHeight="1" x14ac:dyDescent="0.25">
      <c r="A532" s="35" t="s">
        <v>195</v>
      </c>
      <c r="B532" s="13" t="s">
        <v>1935</v>
      </c>
      <c r="C532" s="3" t="s">
        <v>3899</v>
      </c>
      <c r="D532" s="12" t="s">
        <v>1933</v>
      </c>
      <c r="E532" s="12" t="s">
        <v>3570</v>
      </c>
      <c r="F532" s="3" t="s">
        <v>4374</v>
      </c>
      <c r="G532" s="25">
        <v>891</v>
      </c>
      <c r="H532" s="25">
        <v>386</v>
      </c>
      <c r="I532" s="25">
        <v>94</v>
      </c>
      <c r="J532" s="25">
        <v>379</v>
      </c>
      <c r="K532" s="25">
        <v>5720</v>
      </c>
      <c r="L532" s="25">
        <v>3967</v>
      </c>
      <c r="M532" s="25">
        <v>9687</v>
      </c>
      <c r="N532" s="31">
        <v>0.59</v>
      </c>
      <c r="O532" s="25">
        <v>0</v>
      </c>
      <c r="P532" s="25">
        <v>2865</v>
      </c>
      <c r="Q532" s="25">
        <v>24</v>
      </c>
      <c r="R532" s="25">
        <v>3</v>
      </c>
      <c r="S532" s="25">
        <v>5</v>
      </c>
      <c r="T532" s="25">
        <v>0</v>
      </c>
      <c r="U532" s="61">
        <v>0</v>
      </c>
      <c r="V532" s="58">
        <v>0.1234</v>
      </c>
      <c r="W532" s="33">
        <v>0.14449999999999999</v>
      </c>
      <c r="X532" s="33">
        <v>1.4E-3</v>
      </c>
      <c r="Y532" s="33">
        <v>0.67330000000000001</v>
      </c>
      <c r="Z532" s="33">
        <v>6.6100000000000006E-2</v>
      </c>
      <c r="AA532" s="33">
        <v>2.4899999999999999E-2</v>
      </c>
      <c r="AB532" s="25">
        <v>9</v>
      </c>
      <c r="AC532" s="25">
        <v>1</v>
      </c>
      <c r="AD532" s="25">
        <v>2</v>
      </c>
      <c r="AE532" s="25">
        <v>1</v>
      </c>
      <c r="AF532" s="25">
        <v>4</v>
      </c>
      <c r="AG532" s="25">
        <v>0</v>
      </c>
      <c r="AH532" s="25">
        <v>1</v>
      </c>
      <c r="AI532" s="12">
        <v>0.02</v>
      </c>
      <c r="AJ532" s="25">
        <v>869</v>
      </c>
      <c r="AK532" s="25">
        <v>179</v>
      </c>
      <c r="AL532" s="33">
        <v>0.25940000000000002</v>
      </c>
      <c r="AM532" s="3" t="s">
        <v>3899</v>
      </c>
      <c r="AN532" s="12" t="s">
        <v>3570</v>
      </c>
      <c r="AO532" s="12" t="s">
        <v>3570</v>
      </c>
      <c r="AP532" s="12" t="str">
        <f>"581152442029393"</f>
        <v>581152442029393</v>
      </c>
      <c r="AQ532" s="12" t="s">
        <v>1933</v>
      </c>
      <c r="AR532" s="12"/>
      <c r="AS532" s="12" t="s">
        <v>1934</v>
      </c>
      <c r="AT532" s="12"/>
      <c r="AU532" s="12" t="s">
        <v>309</v>
      </c>
      <c r="AV532" s="12"/>
      <c r="AW532" s="12"/>
      <c r="AX532" s="12">
        <v>0</v>
      </c>
      <c r="AY532" s="12">
        <v>1</v>
      </c>
      <c r="AZ532" s="12">
        <v>0</v>
      </c>
      <c r="BA532" s="12" t="s">
        <v>3571</v>
      </c>
      <c r="BB532" s="12"/>
      <c r="BC532" s="12" t="s">
        <v>7274</v>
      </c>
      <c r="BD532" s="12"/>
      <c r="BE532" s="12" t="s">
        <v>2291</v>
      </c>
      <c r="BF532" s="12"/>
      <c r="BG532" s="12"/>
      <c r="BH532" s="12"/>
      <c r="BI532" s="12"/>
      <c r="BJ532" s="12"/>
      <c r="BK532" s="12"/>
      <c r="BL532" s="12" t="s">
        <v>2292</v>
      </c>
      <c r="BM532" s="12" t="s">
        <v>2292</v>
      </c>
      <c r="BN532" s="12" t="s">
        <v>2292</v>
      </c>
      <c r="BO532" s="12" t="s">
        <v>2292</v>
      </c>
      <c r="BP532" s="12"/>
      <c r="BQ532" s="12"/>
      <c r="BR532" s="12"/>
      <c r="BS532" s="12"/>
      <c r="BT532" s="12"/>
      <c r="BU532" s="12"/>
      <c r="BV532" s="12"/>
      <c r="BW532" s="12"/>
      <c r="BX532" s="12"/>
      <c r="BY532" s="13" t="s">
        <v>313</v>
      </c>
      <c r="BZ532" s="13" t="s">
        <v>6170</v>
      </c>
      <c r="CA532" s="13" t="s">
        <v>6170</v>
      </c>
      <c r="CB532" s="13" t="s">
        <v>312</v>
      </c>
      <c r="CC532" s="13"/>
      <c r="CD532" s="13" t="s">
        <v>6198</v>
      </c>
      <c r="CE532" s="13"/>
      <c r="CF532" s="13"/>
    </row>
    <row r="533" spans="1:84" ht="18.600000000000001" customHeight="1" x14ac:dyDescent="0.25">
      <c r="A533" s="60" t="s">
        <v>196</v>
      </c>
      <c r="B533" s="2" t="s">
        <v>1941</v>
      </c>
      <c r="C533" s="3" t="s">
        <v>2418</v>
      </c>
      <c r="D533" s="12" t="s">
        <v>1936</v>
      </c>
      <c r="E533" s="12" t="s">
        <v>1937</v>
      </c>
      <c r="F533" s="12" t="s">
        <v>4003</v>
      </c>
      <c r="G533" s="25">
        <v>7520</v>
      </c>
      <c r="H533" s="25">
        <v>4415</v>
      </c>
      <c r="I533" s="25">
        <v>1805</v>
      </c>
      <c r="J533" s="25">
        <v>673</v>
      </c>
      <c r="K533" s="25">
        <v>0</v>
      </c>
      <c r="L533" s="25">
        <v>0</v>
      </c>
      <c r="M533" s="25">
        <v>0</v>
      </c>
      <c r="N533" s="31">
        <v>0</v>
      </c>
      <c r="O533" s="25">
        <v>0</v>
      </c>
      <c r="P533" s="25">
        <v>0</v>
      </c>
      <c r="Q533" s="25">
        <v>275</v>
      </c>
      <c r="R533" s="25">
        <v>27</v>
      </c>
      <c r="S533" s="25">
        <v>94</v>
      </c>
      <c r="T533" s="25">
        <v>9</v>
      </c>
      <c r="U533" s="61">
        <v>222</v>
      </c>
      <c r="V533" s="58">
        <v>1.1999999999999999E-3</v>
      </c>
      <c r="W533" s="33">
        <v>1.1999999999999999E-3</v>
      </c>
      <c r="X533" s="33">
        <v>1.9E-3</v>
      </c>
      <c r="Y533" s="33">
        <v>1.8E-3</v>
      </c>
      <c r="Z533" s="33">
        <v>5.9999999999999995E-4</v>
      </c>
      <c r="AA533" s="12" t="s">
        <v>3926</v>
      </c>
      <c r="AB533" s="25">
        <v>11</v>
      </c>
      <c r="AC533" s="25">
        <v>8</v>
      </c>
      <c r="AD533" s="25">
        <v>1</v>
      </c>
      <c r="AE533" s="25">
        <v>1</v>
      </c>
      <c r="AF533" s="25">
        <v>1</v>
      </c>
      <c r="AG533" s="25">
        <v>0</v>
      </c>
      <c r="AH533" s="25">
        <v>0</v>
      </c>
      <c r="AI533" s="12">
        <v>0.03</v>
      </c>
      <c r="AJ533" s="25">
        <v>550295</v>
      </c>
      <c r="AK533" s="25">
        <v>-1244</v>
      </c>
      <c r="AL533" s="33">
        <v>-2.3E-3</v>
      </c>
      <c r="AM533" s="3" t="s">
        <v>2418</v>
      </c>
      <c r="AN533" s="12" t="s">
        <v>1937</v>
      </c>
      <c r="AO533" s="12" t="s">
        <v>1937</v>
      </c>
      <c r="AP533" s="12" t="str">
        <f>"47735348138"</f>
        <v>47735348138</v>
      </c>
      <c r="AQ533" s="12" t="s">
        <v>1936</v>
      </c>
      <c r="AR533" s="12" t="s">
        <v>1938</v>
      </c>
      <c r="AS533" s="12" t="s">
        <v>2419</v>
      </c>
      <c r="AT533" s="12"/>
      <c r="AU533" s="12" t="s">
        <v>309</v>
      </c>
      <c r="AV533" s="12"/>
      <c r="AW533" s="12"/>
      <c r="AX533" s="12">
        <v>0</v>
      </c>
      <c r="AY533" s="12">
        <v>446</v>
      </c>
      <c r="AZ533" s="12">
        <v>0</v>
      </c>
      <c r="BA533" s="12" t="s">
        <v>1939</v>
      </c>
      <c r="BB533" s="12"/>
      <c r="BC533" s="12" t="s">
        <v>6437</v>
      </c>
      <c r="BD533" s="12"/>
      <c r="BE533" s="12" t="s">
        <v>2291</v>
      </c>
      <c r="BF533" s="12"/>
      <c r="BG533" s="12"/>
      <c r="BH533" s="12"/>
      <c r="BI533" s="12"/>
      <c r="BJ533" s="12"/>
      <c r="BK533" s="12"/>
      <c r="BL533" s="12" t="s">
        <v>2292</v>
      </c>
      <c r="BM533" s="12" t="s">
        <v>2292</v>
      </c>
      <c r="BN533" s="12" t="s">
        <v>2292</v>
      </c>
      <c r="BO533" s="12" t="s">
        <v>2291</v>
      </c>
      <c r="BP533" s="12"/>
      <c r="BQ533" s="12"/>
      <c r="BR533" s="12" t="s">
        <v>1940</v>
      </c>
      <c r="BS533" s="12"/>
      <c r="BT533" s="12"/>
      <c r="BU533" s="12"/>
      <c r="BV533" s="12"/>
      <c r="BW533" s="12"/>
      <c r="BX533" s="12"/>
      <c r="BY533" s="13" t="s">
        <v>313</v>
      </c>
      <c r="BZ533" s="13" t="s">
        <v>6168</v>
      </c>
      <c r="CA533" s="13"/>
      <c r="CB533" s="13"/>
      <c r="CC533" s="13"/>
      <c r="CD533" s="13"/>
      <c r="CE533" s="13"/>
      <c r="CF533" s="13"/>
    </row>
    <row r="534" spans="1:84" ht="18.600000000000001" customHeight="1" x14ac:dyDescent="0.25">
      <c r="A534" s="60" t="s">
        <v>196</v>
      </c>
      <c r="B534" s="2" t="s">
        <v>314</v>
      </c>
      <c r="C534" s="3" t="s">
        <v>2895</v>
      </c>
      <c r="D534" s="12" t="s">
        <v>1942</v>
      </c>
      <c r="E534" s="12" t="s">
        <v>197</v>
      </c>
      <c r="F534" s="12" t="s">
        <v>4300</v>
      </c>
      <c r="G534" s="25">
        <v>904894</v>
      </c>
      <c r="H534" s="25">
        <v>596067</v>
      </c>
      <c r="I534" s="25">
        <v>54174</v>
      </c>
      <c r="J534" s="25">
        <v>214762</v>
      </c>
      <c r="K534" s="25">
        <v>4118827</v>
      </c>
      <c r="L534" s="25">
        <v>1347079</v>
      </c>
      <c r="M534" s="25">
        <v>5465906</v>
      </c>
      <c r="N534" s="31">
        <v>0.75</v>
      </c>
      <c r="O534" s="25">
        <v>11942</v>
      </c>
      <c r="P534" s="25">
        <v>148596</v>
      </c>
      <c r="Q534" s="25">
        <v>25990</v>
      </c>
      <c r="R534" s="25">
        <v>2000</v>
      </c>
      <c r="S534" s="25">
        <v>5992</v>
      </c>
      <c r="T534" s="25">
        <v>1066</v>
      </c>
      <c r="U534" s="61">
        <v>4826</v>
      </c>
      <c r="V534" s="58">
        <v>2.9999999999999997E-4</v>
      </c>
      <c r="W534" s="33">
        <v>2.9999999999999997E-4</v>
      </c>
      <c r="X534" s="33">
        <v>2.0000000000000001E-4</v>
      </c>
      <c r="Y534" s="33">
        <v>2.0000000000000001E-4</v>
      </c>
      <c r="Z534" s="33">
        <v>4.0000000000000002E-4</v>
      </c>
      <c r="AA534" s="33">
        <v>1E-4</v>
      </c>
      <c r="AB534" s="25">
        <v>8094</v>
      </c>
      <c r="AC534" s="25">
        <v>3260</v>
      </c>
      <c r="AD534" s="25">
        <v>3072</v>
      </c>
      <c r="AE534" s="25">
        <v>5</v>
      </c>
      <c r="AF534" s="25">
        <v>1673</v>
      </c>
      <c r="AG534" s="25">
        <v>4</v>
      </c>
      <c r="AH534" s="25">
        <v>80</v>
      </c>
      <c r="AI534" s="12">
        <v>18.440000000000001</v>
      </c>
      <c r="AJ534" s="25">
        <v>446538</v>
      </c>
      <c r="AK534" s="25">
        <v>17190</v>
      </c>
      <c r="AL534" s="33">
        <v>0.04</v>
      </c>
      <c r="AM534" s="3" t="s">
        <v>2895</v>
      </c>
      <c r="AN534" s="12" t="s">
        <v>197</v>
      </c>
      <c r="AO534" s="12" t="s">
        <v>197</v>
      </c>
      <c r="AP534" s="12" t="str">
        <f>"143634975724835"</f>
        <v>143634975724835</v>
      </c>
      <c r="AQ534" s="12" t="s">
        <v>1942</v>
      </c>
      <c r="AR534" s="12" t="s">
        <v>1943</v>
      </c>
      <c r="AS534" s="12" t="s">
        <v>2896</v>
      </c>
      <c r="AT534" s="12"/>
      <c r="AU534" s="12" t="s">
        <v>4806</v>
      </c>
      <c r="AV534" s="12" t="s">
        <v>5758</v>
      </c>
      <c r="AW534" s="12"/>
      <c r="AX534" s="12">
        <v>10209</v>
      </c>
      <c r="AY534" s="12">
        <v>10282</v>
      </c>
      <c r="AZ534" s="12">
        <v>10209</v>
      </c>
      <c r="BA534" s="12" t="s">
        <v>1944</v>
      </c>
      <c r="BB534" s="12" t="s">
        <v>7098</v>
      </c>
      <c r="BC534" s="12" t="s">
        <v>7099</v>
      </c>
      <c r="BD534" s="12"/>
      <c r="BE534" s="12" t="s">
        <v>2291</v>
      </c>
      <c r="BF534" s="12"/>
      <c r="BG534" s="12"/>
      <c r="BH534" s="12"/>
      <c r="BI534" s="12"/>
      <c r="BJ534" s="12"/>
      <c r="BK534" s="12"/>
      <c r="BL534" s="12" t="s">
        <v>2292</v>
      </c>
      <c r="BM534" s="12" t="s">
        <v>2292</v>
      </c>
      <c r="BN534" s="12" t="s">
        <v>2292</v>
      </c>
      <c r="BO534" s="12" t="s">
        <v>2292</v>
      </c>
      <c r="BP534" s="12"/>
      <c r="BQ534" s="12"/>
      <c r="BR534" s="12"/>
      <c r="BS534" s="12"/>
      <c r="BT534" s="12" t="s">
        <v>5427</v>
      </c>
      <c r="BU534" s="12" t="s">
        <v>326</v>
      </c>
      <c r="BV534" s="12"/>
      <c r="BW534" s="12" t="s">
        <v>4919</v>
      </c>
      <c r="BX534" s="12"/>
      <c r="BY534" s="13" t="s">
        <v>313</v>
      </c>
      <c r="BZ534" s="13" t="s">
        <v>6170</v>
      </c>
      <c r="CA534" s="13" t="s">
        <v>6170</v>
      </c>
      <c r="CB534" s="13" t="s">
        <v>312</v>
      </c>
      <c r="CC534" s="13"/>
      <c r="CD534" s="13" t="s">
        <v>6198</v>
      </c>
      <c r="CE534" s="13"/>
      <c r="CF534" s="13"/>
    </row>
    <row r="535" spans="1:84" ht="18.600000000000001" customHeight="1" x14ac:dyDescent="0.25">
      <c r="A535" s="60" t="s">
        <v>196</v>
      </c>
      <c r="B535" s="2" t="s">
        <v>3511</v>
      </c>
      <c r="C535" s="3" t="s">
        <v>3512</v>
      </c>
      <c r="D535" s="12" t="s">
        <v>3627</v>
      </c>
      <c r="E535" s="12" t="s">
        <v>3626</v>
      </c>
      <c r="F535" s="12" t="s">
        <v>4192</v>
      </c>
      <c r="G535" s="25">
        <v>0</v>
      </c>
      <c r="H535" s="25">
        <v>0</v>
      </c>
      <c r="I535" s="25">
        <v>0</v>
      </c>
      <c r="J535" s="25">
        <v>0</v>
      </c>
      <c r="K535" s="25">
        <v>0</v>
      </c>
      <c r="L535" s="25">
        <v>0</v>
      </c>
      <c r="M535" s="25">
        <v>0</v>
      </c>
      <c r="N535" s="31">
        <v>0</v>
      </c>
      <c r="O535" s="25">
        <v>0</v>
      </c>
      <c r="P535" s="25">
        <v>0</v>
      </c>
      <c r="Q535" s="25">
        <v>0</v>
      </c>
      <c r="R535" s="25">
        <v>0</v>
      </c>
      <c r="S535" s="25">
        <v>0</v>
      </c>
      <c r="T535" s="25">
        <v>0</v>
      </c>
      <c r="U535" s="61">
        <v>0</v>
      </c>
      <c r="V535" s="59"/>
      <c r="W535" s="12" t="s">
        <v>3926</v>
      </c>
      <c r="X535" s="12" t="s">
        <v>3926</v>
      </c>
      <c r="Y535" s="12" t="s">
        <v>3926</v>
      </c>
      <c r="Z535" s="12" t="s">
        <v>3926</v>
      </c>
      <c r="AA535" s="12" t="s">
        <v>3926</v>
      </c>
      <c r="AB535" s="25" t="s">
        <v>3927</v>
      </c>
      <c r="AC535" s="25">
        <v>0</v>
      </c>
      <c r="AD535" s="25">
        <v>0</v>
      </c>
      <c r="AE535" s="25">
        <v>0</v>
      </c>
      <c r="AF535" s="25">
        <v>0</v>
      </c>
      <c r="AG535" s="25">
        <v>0</v>
      </c>
      <c r="AH535" s="25">
        <v>0</v>
      </c>
      <c r="AI535" s="12">
        <v>0</v>
      </c>
      <c r="AJ535" s="25">
        <v>20901</v>
      </c>
      <c r="AK535" s="25">
        <v>-110</v>
      </c>
      <c r="AL535" s="33">
        <v>-5.1999999999999998E-3</v>
      </c>
      <c r="AM535" s="3" t="s">
        <v>3512</v>
      </c>
      <c r="AN535" s="12" t="s">
        <v>3626</v>
      </c>
      <c r="AO535" s="12" t="s">
        <v>3626</v>
      </c>
      <c r="AP535" s="12" t="str">
        <f>"125892241827"</f>
        <v>125892241827</v>
      </c>
      <c r="AQ535" s="12" t="s">
        <v>3627</v>
      </c>
      <c r="AR535" s="12" t="s">
        <v>3628</v>
      </c>
      <c r="AS535" s="12" t="s">
        <v>3629</v>
      </c>
      <c r="AT535" s="12"/>
      <c r="AU535" s="12" t="s">
        <v>309</v>
      </c>
      <c r="AV535" s="12"/>
      <c r="AW535" s="12"/>
      <c r="AX535" s="12">
        <v>0</v>
      </c>
      <c r="AY535" s="12">
        <v>14</v>
      </c>
      <c r="AZ535" s="12">
        <v>0</v>
      </c>
      <c r="BA535" s="12" t="s">
        <v>3630</v>
      </c>
      <c r="BB535" s="12"/>
      <c r="BC535" s="12" t="s">
        <v>6880</v>
      </c>
      <c r="BD535" s="12"/>
      <c r="BE535" s="12" t="s">
        <v>2291</v>
      </c>
      <c r="BF535" s="12"/>
      <c r="BG535" s="12"/>
      <c r="BH535" s="12"/>
      <c r="BI535" s="12"/>
      <c r="BJ535" s="12"/>
      <c r="BK535" s="12"/>
      <c r="BL535" s="12" t="s">
        <v>2292</v>
      </c>
      <c r="BM535" s="12" t="s">
        <v>2292</v>
      </c>
      <c r="BN535" s="12" t="s">
        <v>2292</v>
      </c>
      <c r="BO535" s="12" t="s">
        <v>2292</v>
      </c>
      <c r="BP535" s="12"/>
      <c r="BQ535" s="12"/>
      <c r="BR535" s="12"/>
      <c r="BS535" s="12"/>
      <c r="BT535" s="12"/>
      <c r="BU535" s="12"/>
      <c r="BV535" s="12"/>
      <c r="BW535" s="12"/>
      <c r="BX535" s="12"/>
      <c r="BY535" s="13" t="s">
        <v>3706</v>
      </c>
      <c r="BZ535" s="13" t="s">
        <v>6170</v>
      </c>
      <c r="CA535" s="13" t="s">
        <v>6170</v>
      </c>
      <c r="CB535" s="13" t="s">
        <v>312</v>
      </c>
      <c r="CC535" s="13"/>
      <c r="CD535" s="13" t="s">
        <v>6198</v>
      </c>
      <c r="CE535" s="13"/>
      <c r="CF535" s="13"/>
    </row>
    <row r="536" spans="1:84" ht="18.600000000000001" customHeight="1" x14ac:dyDescent="0.25">
      <c r="A536" s="60" t="s">
        <v>196</v>
      </c>
      <c r="B536" s="2" t="s">
        <v>335</v>
      </c>
      <c r="C536" s="3" t="s">
        <v>3903</v>
      </c>
      <c r="D536" s="12" t="s">
        <v>4202</v>
      </c>
      <c r="E536" s="12" t="s">
        <v>3633</v>
      </c>
      <c r="F536" s="12" t="s">
        <v>4203</v>
      </c>
      <c r="G536" s="25">
        <v>49562</v>
      </c>
      <c r="H536" s="25">
        <v>32239</v>
      </c>
      <c r="I536" s="25">
        <v>1435</v>
      </c>
      <c r="J536" s="25">
        <v>14469</v>
      </c>
      <c r="K536" s="25">
        <v>49153</v>
      </c>
      <c r="L536" s="25">
        <v>45242</v>
      </c>
      <c r="M536" s="25">
        <v>94395</v>
      </c>
      <c r="N536" s="31">
        <v>0.52</v>
      </c>
      <c r="O536" s="25">
        <v>181</v>
      </c>
      <c r="P536" s="25">
        <v>0</v>
      </c>
      <c r="Q536" s="25">
        <v>1265</v>
      </c>
      <c r="R536" s="25">
        <v>31</v>
      </c>
      <c r="S536" s="25">
        <v>57</v>
      </c>
      <c r="T536" s="25">
        <v>49</v>
      </c>
      <c r="U536" s="61">
        <v>17</v>
      </c>
      <c r="V536" s="58">
        <v>1.8E-3</v>
      </c>
      <c r="W536" s="33">
        <v>1.9E-3</v>
      </c>
      <c r="X536" s="33">
        <v>1.4E-3</v>
      </c>
      <c r="Y536" s="33">
        <v>5.0000000000000001E-4</v>
      </c>
      <c r="Z536" s="33">
        <v>2.5000000000000001E-3</v>
      </c>
      <c r="AA536" s="33">
        <v>1.1000000000000001E-3</v>
      </c>
      <c r="AB536" s="25">
        <v>1788</v>
      </c>
      <c r="AC536" s="25">
        <v>1483</v>
      </c>
      <c r="AD536" s="25">
        <v>76</v>
      </c>
      <c r="AE536" s="25">
        <v>14</v>
      </c>
      <c r="AF536" s="25">
        <v>177</v>
      </c>
      <c r="AG536" s="25">
        <v>2</v>
      </c>
      <c r="AH536" s="25">
        <v>36</v>
      </c>
      <c r="AI536" s="12">
        <v>4.07</v>
      </c>
      <c r="AJ536" s="25">
        <v>16702</v>
      </c>
      <c r="AK536" s="25">
        <v>4803</v>
      </c>
      <c r="AL536" s="33">
        <v>0.40360000000000001</v>
      </c>
      <c r="AM536" s="3" t="s">
        <v>3903</v>
      </c>
      <c r="AN536" s="12" t="s">
        <v>3633</v>
      </c>
      <c r="AO536" s="12" t="s">
        <v>3633</v>
      </c>
      <c r="AP536" s="12" t="str">
        <f>"150790758316037"</f>
        <v>150790758316037</v>
      </c>
      <c r="AQ536" s="12" t="s">
        <v>4202</v>
      </c>
      <c r="AR536" s="12" t="s">
        <v>1945</v>
      </c>
      <c r="AS536" s="12" t="s">
        <v>2744</v>
      </c>
      <c r="AT536" s="12"/>
      <c r="AU536" s="12" t="s">
        <v>5567</v>
      </c>
      <c r="AV536" s="12" t="s">
        <v>5916</v>
      </c>
      <c r="AW536" s="12"/>
      <c r="AX536" s="12">
        <v>7913</v>
      </c>
      <c r="AY536" s="12">
        <v>854</v>
      </c>
      <c r="AZ536" s="12">
        <v>7913</v>
      </c>
      <c r="BA536" s="12" t="s">
        <v>3634</v>
      </c>
      <c r="BB536" s="12" t="s">
        <v>6916</v>
      </c>
      <c r="BC536" s="12" t="s">
        <v>6917</v>
      </c>
      <c r="BD536" s="12"/>
      <c r="BE536" s="12" t="s">
        <v>2291</v>
      </c>
      <c r="BF536" s="12"/>
      <c r="BG536" s="12"/>
      <c r="BH536" s="12"/>
      <c r="BI536" s="12" t="s">
        <v>4603</v>
      </c>
      <c r="BJ536" s="12" t="s">
        <v>1946</v>
      </c>
      <c r="BK536" s="12" t="s">
        <v>6393</v>
      </c>
      <c r="BL536" s="12" t="s">
        <v>2292</v>
      </c>
      <c r="BM536" s="12" t="s">
        <v>2292</v>
      </c>
      <c r="BN536" s="12" t="s">
        <v>2292</v>
      </c>
      <c r="BO536" s="12" t="s">
        <v>2292</v>
      </c>
      <c r="BP536" s="12" t="s">
        <v>2745</v>
      </c>
      <c r="BQ536" s="12"/>
      <c r="BR536" s="12"/>
      <c r="BS536" s="12"/>
      <c r="BT536" s="12">
        <v>8099877002</v>
      </c>
      <c r="BU536" s="12" t="s">
        <v>326</v>
      </c>
      <c r="BV536" s="12" t="s">
        <v>1947</v>
      </c>
      <c r="BW536" s="12" t="s">
        <v>5917</v>
      </c>
      <c r="BX536" s="12"/>
      <c r="BY536" s="13" t="s">
        <v>313</v>
      </c>
      <c r="BZ536" s="13" t="s">
        <v>6170</v>
      </c>
      <c r="CA536" s="13" t="s">
        <v>6170</v>
      </c>
      <c r="CB536" s="13" t="s">
        <v>6201</v>
      </c>
      <c r="CC536" s="13"/>
      <c r="CD536" s="13" t="s">
        <v>6198</v>
      </c>
      <c r="CE536" s="13"/>
      <c r="CF536" s="13"/>
    </row>
    <row r="537" spans="1:84" ht="18.600000000000001" customHeight="1" x14ac:dyDescent="0.25">
      <c r="A537" s="60" t="s">
        <v>198</v>
      </c>
      <c r="B537" s="2" t="s">
        <v>1949</v>
      </c>
      <c r="C537" s="3" t="s">
        <v>3509</v>
      </c>
      <c r="D537" s="12" t="s">
        <v>1948</v>
      </c>
      <c r="E537" s="12" t="s">
        <v>3686</v>
      </c>
      <c r="F537" s="12" t="s">
        <v>4366</v>
      </c>
      <c r="G537" s="25">
        <v>115970</v>
      </c>
      <c r="H537" s="25">
        <v>73569</v>
      </c>
      <c r="I537" s="25">
        <v>11518</v>
      </c>
      <c r="J537" s="25">
        <v>15994</v>
      </c>
      <c r="K537" s="25">
        <v>430815</v>
      </c>
      <c r="L537" s="25">
        <v>214285</v>
      </c>
      <c r="M537" s="25">
        <v>645100</v>
      </c>
      <c r="N537" s="31">
        <v>0.67</v>
      </c>
      <c r="O537" s="25">
        <v>170175</v>
      </c>
      <c r="P537" s="25">
        <v>19197</v>
      </c>
      <c r="Q537" s="25">
        <v>4517</v>
      </c>
      <c r="R537" s="25">
        <v>408</v>
      </c>
      <c r="S537" s="25">
        <v>6989</v>
      </c>
      <c r="T537" s="25">
        <v>1182</v>
      </c>
      <c r="U537" s="61">
        <v>1789</v>
      </c>
      <c r="V537" s="58">
        <v>2E-3</v>
      </c>
      <c r="W537" s="33">
        <v>2.3999999999999998E-3</v>
      </c>
      <c r="X537" s="33">
        <v>1.8E-3</v>
      </c>
      <c r="Y537" s="33">
        <v>3.8E-3</v>
      </c>
      <c r="Z537" s="33">
        <v>3.2000000000000002E-3</v>
      </c>
      <c r="AA537" s="33">
        <v>1E-4</v>
      </c>
      <c r="AB537" s="25">
        <v>406</v>
      </c>
      <c r="AC537" s="25">
        <v>136</v>
      </c>
      <c r="AD537" s="25">
        <v>62</v>
      </c>
      <c r="AE537" s="25">
        <v>21</v>
      </c>
      <c r="AF537" s="25">
        <v>82</v>
      </c>
      <c r="AG537" s="25">
        <v>104</v>
      </c>
      <c r="AH537" s="25">
        <v>1</v>
      </c>
      <c r="AI537" s="12">
        <v>0.92</v>
      </c>
      <c r="AJ537" s="25">
        <v>140892</v>
      </c>
      <c r="AK537" s="25">
        <v>1314</v>
      </c>
      <c r="AL537" s="33">
        <v>9.4000000000000004E-3</v>
      </c>
      <c r="AM537" s="3" t="s">
        <v>3509</v>
      </c>
      <c r="AN537" s="12" t="s">
        <v>3686</v>
      </c>
      <c r="AO537" s="12" t="s">
        <v>3686</v>
      </c>
      <c r="AP537" s="12" t="str">
        <f>"103558343137474"</f>
        <v>103558343137474</v>
      </c>
      <c r="AQ537" s="12" t="s">
        <v>1948</v>
      </c>
      <c r="AR537" s="12" t="s">
        <v>4710</v>
      </c>
      <c r="AS537" s="12" t="s">
        <v>4947</v>
      </c>
      <c r="AT537" s="12" t="s">
        <v>3687</v>
      </c>
      <c r="AU537" s="12" t="s">
        <v>424</v>
      </c>
      <c r="AV537" s="12"/>
      <c r="AW537" s="12"/>
      <c r="AX537" s="12">
        <v>0</v>
      </c>
      <c r="AY537" s="12">
        <v>1711</v>
      </c>
      <c r="AZ537" s="12">
        <v>0</v>
      </c>
      <c r="BA537" s="12" t="s">
        <v>3688</v>
      </c>
      <c r="BB537" s="12" t="s">
        <v>6022</v>
      </c>
      <c r="BC537" s="12" t="s">
        <v>7257</v>
      </c>
      <c r="BD537" s="12"/>
      <c r="BE537" s="12" t="s">
        <v>2291</v>
      </c>
      <c r="BF537" s="12"/>
      <c r="BG537" s="12"/>
      <c r="BH537" s="12"/>
      <c r="BI537" s="12"/>
      <c r="BJ537" s="12"/>
      <c r="BK537" s="12"/>
      <c r="BL537" s="12" t="s">
        <v>2292</v>
      </c>
      <c r="BM537" s="12" t="s">
        <v>2292</v>
      </c>
      <c r="BN537" s="12" t="s">
        <v>2292</v>
      </c>
      <c r="BO537" s="12" t="s">
        <v>2291</v>
      </c>
      <c r="BP537" s="12"/>
      <c r="BQ537" s="12"/>
      <c r="BR537" s="12"/>
      <c r="BS537" s="12"/>
      <c r="BT537" s="12"/>
      <c r="BU537" s="12"/>
      <c r="BV537" s="12"/>
      <c r="BW537" s="12" t="s">
        <v>5605</v>
      </c>
      <c r="BX537" s="12"/>
      <c r="BY537" s="13" t="s">
        <v>313</v>
      </c>
      <c r="BZ537" s="13" t="s">
        <v>6174</v>
      </c>
      <c r="CA537" s="13"/>
      <c r="CB537" s="13"/>
      <c r="CC537" s="13"/>
      <c r="CD537" s="13"/>
      <c r="CE537" s="13"/>
      <c r="CF537" s="13"/>
    </row>
    <row r="538" spans="1:84" ht="18.600000000000001" customHeight="1" x14ac:dyDescent="0.25">
      <c r="A538" s="60" t="s">
        <v>198</v>
      </c>
      <c r="B538" s="2" t="s">
        <v>314</v>
      </c>
      <c r="C538" s="3" t="s">
        <v>2889</v>
      </c>
      <c r="D538" s="12" t="s">
        <v>1951</v>
      </c>
      <c r="E538" s="12" t="s">
        <v>1950</v>
      </c>
      <c r="F538" s="12" t="s">
        <v>4296</v>
      </c>
      <c r="G538" s="25">
        <v>244888</v>
      </c>
      <c r="H538" s="25">
        <v>141759</v>
      </c>
      <c r="I538" s="25">
        <v>26958</v>
      </c>
      <c r="J538" s="25">
        <v>50804</v>
      </c>
      <c r="K538" s="25">
        <v>745236</v>
      </c>
      <c r="L538" s="25">
        <v>871835</v>
      </c>
      <c r="M538" s="25">
        <v>1617071</v>
      </c>
      <c r="N538" s="31">
        <v>0.46</v>
      </c>
      <c r="O538" s="25">
        <v>57168</v>
      </c>
      <c r="P538" s="25">
        <v>511665</v>
      </c>
      <c r="Q538" s="25">
        <v>12055</v>
      </c>
      <c r="R538" s="25">
        <v>867</v>
      </c>
      <c r="S538" s="25">
        <v>8417</v>
      </c>
      <c r="T538" s="25">
        <v>812</v>
      </c>
      <c r="U538" s="61">
        <v>3214</v>
      </c>
      <c r="V538" s="58">
        <v>1.6999999999999999E-3</v>
      </c>
      <c r="W538" s="33">
        <v>1.6000000000000001E-3</v>
      </c>
      <c r="X538" s="33">
        <v>1.2999999999999999E-3</v>
      </c>
      <c r="Y538" s="33">
        <v>5.0000000000000001E-4</v>
      </c>
      <c r="Z538" s="33">
        <v>3.2000000000000002E-3</v>
      </c>
      <c r="AA538" s="33">
        <v>2.9999999999999997E-4</v>
      </c>
      <c r="AB538" s="25">
        <v>2099</v>
      </c>
      <c r="AC538" s="25">
        <v>716</v>
      </c>
      <c r="AD538" s="25">
        <v>1020</v>
      </c>
      <c r="AE538" s="25">
        <v>6</v>
      </c>
      <c r="AF538" s="25">
        <v>309</v>
      </c>
      <c r="AG538" s="25">
        <v>43</v>
      </c>
      <c r="AH538" s="25">
        <v>5</v>
      </c>
      <c r="AI538" s="12">
        <v>4.78</v>
      </c>
      <c r="AJ538" s="25">
        <v>75339</v>
      </c>
      <c r="AK538" s="25">
        <v>11409</v>
      </c>
      <c r="AL538" s="33">
        <v>0.17849999999999999</v>
      </c>
      <c r="AM538" s="3" t="s">
        <v>2889</v>
      </c>
      <c r="AN538" s="12" t="s">
        <v>1950</v>
      </c>
      <c r="AO538" s="12" t="s">
        <v>1950</v>
      </c>
      <c r="AP538" s="12" t="str">
        <f>"218955918568"</f>
        <v>218955918568</v>
      </c>
      <c r="AQ538" s="12" t="s">
        <v>1951</v>
      </c>
      <c r="AR538" s="12" t="s">
        <v>1952</v>
      </c>
      <c r="AS538" s="12" t="s">
        <v>2890</v>
      </c>
      <c r="AT538" s="12"/>
      <c r="AU538" s="12" t="s">
        <v>324</v>
      </c>
      <c r="AV538" s="12" t="s">
        <v>5911</v>
      </c>
      <c r="AW538" s="12"/>
      <c r="AX538" s="12">
        <v>2369</v>
      </c>
      <c r="AY538" s="12">
        <v>11139</v>
      </c>
      <c r="AZ538" s="12">
        <v>2369</v>
      </c>
      <c r="BA538" s="12" t="s">
        <v>1953</v>
      </c>
      <c r="BB538" s="12" t="s">
        <v>7092</v>
      </c>
      <c r="BC538" s="12" t="s">
        <v>7093</v>
      </c>
      <c r="BD538" s="12"/>
      <c r="BE538" s="12" t="s">
        <v>2291</v>
      </c>
      <c r="BF538" s="12"/>
      <c r="BG538" s="12"/>
      <c r="BH538" s="12"/>
      <c r="BI538" s="12" t="s">
        <v>2891</v>
      </c>
      <c r="BJ538" s="12"/>
      <c r="BK538" s="12" t="s">
        <v>6584</v>
      </c>
      <c r="BL538" s="12" t="s">
        <v>2292</v>
      </c>
      <c r="BM538" s="12" t="s">
        <v>2292</v>
      </c>
      <c r="BN538" s="12" t="s">
        <v>2292</v>
      </c>
      <c r="BO538" s="12" t="s">
        <v>2291</v>
      </c>
      <c r="BP538" s="12"/>
      <c r="BQ538" s="12"/>
      <c r="BR538" s="12"/>
      <c r="BS538" s="12"/>
      <c r="BT538" s="12"/>
      <c r="BU538" s="12" t="s">
        <v>326</v>
      </c>
      <c r="BV538" s="12"/>
      <c r="BW538" s="12" t="s">
        <v>5595</v>
      </c>
      <c r="BX538" s="12"/>
      <c r="BY538" s="13" t="s">
        <v>313</v>
      </c>
      <c r="BZ538" s="13" t="s">
        <v>6174</v>
      </c>
      <c r="CA538" s="13"/>
      <c r="CB538" s="13"/>
      <c r="CC538" s="13"/>
      <c r="CD538" s="13"/>
      <c r="CE538" s="13"/>
      <c r="CF538" s="13"/>
    </row>
    <row r="539" spans="1:84" ht="18.600000000000001" customHeight="1" x14ac:dyDescent="0.25">
      <c r="A539" s="60" t="s">
        <v>198</v>
      </c>
      <c r="B539" s="2" t="s">
        <v>315</v>
      </c>
      <c r="C539" s="3" t="s">
        <v>3503</v>
      </c>
      <c r="D539" s="12" t="s">
        <v>3539</v>
      </c>
      <c r="E539" s="12" t="s">
        <v>3538</v>
      </c>
      <c r="F539" s="12" t="s">
        <v>3996</v>
      </c>
      <c r="G539" s="25">
        <v>272452</v>
      </c>
      <c r="H539" s="25">
        <v>155711</v>
      </c>
      <c r="I539" s="25">
        <v>29688</v>
      </c>
      <c r="J539" s="25">
        <v>45283</v>
      </c>
      <c r="K539" s="25">
        <v>6049109</v>
      </c>
      <c r="L539" s="25">
        <v>938396</v>
      </c>
      <c r="M539" s="25">
        <v>6987505</v>
      </c>
      <c r="N539" s="31">
        <v>0.87</v>
      </c>
      <c r="O539" s="25">
        <v>142397</v>
      </c>
      <c r="P539" s="25">
        <v>105940</v>
      </c>
      <c r="Q539" s="25">
        <v>10710</v>
      </c>
      <c r="R539" s="25">
        <v>2516</v>
      </c>
      <c r="S539" s="25">
        <v>21744</v>
      </c>
      <c r="T539" s="25">
        <v>2015</v>
      </c>
      <c r="U539" s="61">
        <v>4783</v>
      </c>
      <c r="V539" s="58">
        <v>8.9999999999999998E-4</v>
      </c>
      <c r="W539" s="33">
        <v>5.9999999999999995E-4</v>
      </c>
      <c r="X539" s="33">
        <v>2.9999999999999997E-4</v>
      </c>
      <c r="Y539" s="33">
        <v>2.2000000000000001E-3</v>
      </c>
      <c r="Z539" s="33">
        <v>3.2000000000000002E-3</v>
      </c>
      <c r="AA539" s="33">
        <v>1.6999999999999999E-3</v>
      </c>
      <c r="AB539" s="25">
        <v>5410</v>
      </c>
      <c r="AC539" s="25">
        <v>2152</v>
      </c>
      <c r="AD539" s="25">
        <v>2299</v>
      </c>
      <c r="AE539" s="25">
        <v>19</v>
      </c>
      <c r="AF539" s="25">
        <v>604</v>
      </c>
      <c r="AG539" s="25">
        <v>328</v>
      </c>
      <c r="AH539" s="25">
        <v>8</v>
      </c>
      <c r="AI539" s="12">
        <v>12.32</v>
      </c>
      <c r="AJ539" s="25">
        <v>66131</v>
      </c>
      <c r="AK539" s="25">
        <v>23545</v>
      </c>
      <c r="AL539" s="33">
        <v>0.55289999999999995</v>
      </c>
      <c r="AM539" s="3" t="s">
        <v>3503</v>
      </c>
      <c r="AN539" s="12" t="s">
        <v>3538</v>
      </c>
      <c r="AO539" s="12" t="s">
        <v>3538</v>
      </c>
      <c r="AP539" s="12" t="str">
        <f>"457396834454575"</f>
        <v>457396834454575</v>
      </c>
      <c r="AQ539" s="12" t="s">
        <v>3539</v>
      </c>
      <c r="AR539" s="12" t="s">
        <v>3540</v>
      </c>
      <c r="AS539" s="12" t="s">
        <v>3541</v>
      </c>
      <c r="AT539" s="12"/>
      <c r="AU539" s="12" t="s">
        <v>324</v>
      </c>
      <c r="AV539" s="12" t="s">
        <v>5731</v>
      </c>
      <c r="AW539" s="12"/>
      <c r="AX539" s="12">
        <v>20</v>
      </c>
      <c r="AY539" s="12">
        <v>16681</v>
      </c>
      <c r="AZ539" s="12">
        <v>20</v>
      </c>
      <c r="BA539" s="12" t="s">
        <v>3542</v>
      </c>
      <c r="BB539" s="12" t="s">
        <v>6427</v>
      </c>
      <c r="BC539" s="12" t="s">
        <v>6428</v>
      </c>
      <c r="BD539" s="12"/>
      <c r="BE539" s="12" t="s">
        <v>2291</v>
      </c>
      <c r="BF539" s="12"/>
      <c r="BG539" s="12"/>
      <c r="BH539" s="12"/>
      <c r="BI539" s="12"/>
      <c r="BJ539" s="12"/>
      <c r="BK539" s="12"/>
      <c r="BL539" s="12" t="s">
        <v>2292</v>
      </c>
      <c r="BM539" s="12" t="s">
        <v>2292</v>
      </c>
      <c r="BN539" s="12" t="s">
        <v>2292</v>
      </c>
      <c r="BO539" s="12" t="s">
        <v>2291</v>
      </c>
      <c r="BP539" s="12"/>
      <c r="BQ539" s="12"/>
      <c r="BR539" s="12"/>
      <c r="BS539" s="12"/>
      <c r="BT539" s="12" t="s">
        <v>3543</v>
      </c>
      <c r="BU539" s="12" t="s">
        <v>326</v>
      </c>
      <c r="BV539" s="12"/>
      <c r="BW539" s="12" t="s">
        <v>5566</v>
      </c>
      <c r="BX539" s="12"/>
      <c r="BY539" s="13" t="s">
        <v>313</v>
      </c>
      <c r="BZ539" s="13" t="s">
        <v>6173</v>
      </c>
      <c r="CA539" s="13" t="s">
        <v>6170</v>
      </c>
      <c r="CB539" s="13" t="s">
        <v>312</v>
      </c>
      <c r="CC539" s="13"/>
      <c r="CD539" s="13" t="s">
        <v>6195</v>
      </c>
      <c r="CE539" s="13"/>
      <c r="CF539" s="13"/>
    </row>
    <row r="540" spans="1:84" ht="18.600000000000001" customHeight="1" x14ac:dyDescent="0.25">
      <c r="A540" s="60" t="s">
        <v>198</v>
      </c>
      <c r="B540" s="2" t="s">
        <v>5510</v>
      </c>
      <c r="C540" s="3" t="s">
        <v>5512</v>
      </c>
      <c r="D540" s="12" t="s">
        <v>2287</v>
      </c>
      <c r="E540" s="12" t="s">
        <v>5511</v>
      </c>
      <c r="F540" s="12" t="s">
        <v>5539</v>
      </c>
      <c r="G540" s="25">
        <v>93365</v>
      </c>
      <c r="H540" s="25">
        <v>70933</v>
      </c>
      <c r="I540" s="25">
        <v>5437</v>
      </c>
      <c r="J540" s="25">
        <v>11392</v>
      </c>
      <c r="K540" s="25">
        <v>359298</v>
      </c>
      <c r="L540" s="25">
        <v>151308</v>
      </c>
      <c r="M540" s="25">
        <v>510606</v>
      </c>
      <c r="N540" s="31">
        <v>0.7</v>
      </c>
      <c r="O540" s="25">
        <v>29177</v>
      </c>
      <c r="P540" s="25">
        <v>3738</v>
      </c>
      <c r="Q540" s="25">
        <v>3577</v>
      </c>
      <c r="R540" s="25">
        <v>186</v>
      </c>
      <c r="S540" s="25">
        <v>1008</v>
      </c>
      <c r="T540" s="25">
        <v>268</v>
      </c>
      <c r="U540" s="61">
        <v>564</v>
      </c>
      <c r="V540" s="58">
        <v>1.5599999999999999E-2</v>
      </c>
      <c r="W540" s="33">
        <v>1.7000000000000001E-2</v>
      </c>
      <c r="X540" s="33">
        <v>1.18E-2</v>
      </c>
      <c r="Y540" s="33">
        <v>5.0000000000000001E-3</v>
      </c>
      <c r="Z540" s="33">
        <v>3.9600000000000003E-2</v>
      </c>
      <c r="AA540" s="33">
        <v>5.7999999999999996E-3</v>
      </c>
      <c r="AB540" s="25">
        <v>363</v>
      </c>
      <c r="AC540" s="25">
        <v>253</v>
      </c>
      <c r="AD540" s="25">
        <v>18</v>
      </c>
      <c r="AE540" s="25">
        <v>23</v>
      </c>
      <c r="AF540" s="25">
        <v>34</v>
      </c>
      <c r="AG540" s="25">
        <v>27</v>
      </c>
      <c r="AH540" s="25">
        <v>8</v>
      </c>
      <c r="AI540" s="12">
        <v>0.83</v>
      </c>
      <c r="AJ540" s="25">
        <v>17918</v>
      </c>
      <c r="AK540" s="25">
        <v>0</v>
      </c>
      <c r="AL540" s="31">
        <v>0</v>
      </c>
      <c r="AM540" s="3" t="s">
        <v>5512</v>
      </c>
      <c r="AN540" s="12" t="s">
        <v>5511</v>
      </c>
      <c r="AO540" s="12" t="s">
        <v>5511</v>
      </c>
      <c r="AP540" s="12" t="str">
        <f>"216667985019197"</f>
        <v>216667985019197</v>
      </c>
      <c r="AQ540" s="12" t="s">
        <v>2287</v>
      </c>
      <c r="AR540" s="12"/>
      <c r="AS540" s="12" t="s">
        <v>5579</v>
      </c>
      <c r="AT540" s="12"/>
      <c r="AU540" s="12" t="s">
        <v>319</v>
      </c>
      <c r="AV540" s="12"/>
      <c r="AW540" s="12"/>
      <c r="AX540" s="12">
        <v>0</v>
      </c>
      <c r="AY540" s="12">
        <v>785</v>
      </c>
      <c r="AZ540" s="12">
        <v>0</v>
      </c>
      <c r="BA540" s="12" t="s">
        <v>5580</v>
      </c>
      <c r="BB540" s="12"/>
      <c r="BC540" s="12" t="s">
        <v>6657</v>
      </c>
      <c r="BD540" s="12" t="s">
        <v>5581</v>
      </c>
      <c r="BE540" s="12" t="s">
        <v>2291</v>
      </c>
      <c r="BF540" s="12"/>
      <c r="BG540" s="12"/>
      <c r="BH540" s="12"/>
      <c r="BI540" s="12"/>
      <c r="BJ540" s="12"/>
      <c r="BK540" s="12"/>
      <c r="BL540" s="12" t="s">
        <v>2292</v>
      </c>
      <c r="BM540" s="12" t="s">
        <v>2292</v>
      </c>
      <c r="BN540" s="12" t="s">
        <v>2292</v>
      </c>
      <c r="BO540" s="12" t="s">
        <v>2292</v>
      </c>
      <c r="BP540" s="12"/>
      <c r="BQ540" s="12"/>
      <c r="BR540" s="12"/>
      <c r="BS540" s="12"/>
      <c r="BT540" s="12"/>
      <c r="BU540" s="12"/>
      <c r="BV540" s="12"/>
      <c r="BW540" s="12"/>
      <c r="BX540" s="12"/>
      <c r="BY540" s="13" t="s">
        <v>313</v>
      </c>
      <c r="BZ540" s="13" t="s">
        <v>312</v>
      </c>
      <c r="CA540" s="13"/>
      <c r="CB540" s="13"/>
      <c r="CC540" s="13"/>
      <c r="CD540" s="13"/>
      <c r="CE540" s="13"/>
      <c r="CF540" s="13"/>
    </row>
    <row r="541" spans="1:84" ht="18.600000000000001" customHeight="1" x14ac:dyDescent="0.25">
      <c r="A541" s="60" t="s">
        <v>198</v>
      </c>
      <c r="B541" s="2" t="s">
        <v>335</v>
      </c>
      <c r="C541" s="3" t="s">
        <v>2736</v>
      </c>
      <c r="D541" s="12" t="s">
        <v>1954</v>
      </c>
      <c r="E541" s="12" t="s">
        <v>1955</v>
      </c>
      <c r="F541" s="12" t="s">
        <v>4197</v>
      </c>
      <c r="G541" s="25">
        <v>54972</v>
      </c>
      <c r="H541" s="25">
        <v>31148</v>
      </c>
      <c r="I541" s="25">
        <v>3554</v>
      </c>
      <c r="J541" s="25">
        <v>16968</v>
      </c>
      <c r="K541" s="25">
        <v>237368</v>
      </c>
      <c r="L541" s="25">
        <v>395139</v>
      </c>
      <c r="M541" s="25">
        <v>632507</v>
      </c>
      <c r="N541" s="31">
        <v>0.38</v>
      </c>
      <c r="O541" s="25">
        <v>13893</v>
      </c>
      <c r="P541" s="25">
        <v>35631</v>
      </c>
      <c r="Q541" s="25">
        <v>1763</v>
      </c>
      <c r="R541" s="25">
        <v>162</v>
      </c>
      <c r="S541" s="25">
        <v>625</v>
      </c>
      <c r="T541" s="25">
        <v>200</v>
      </c>
      <c r="U541" s="61">
        <v>552</v>
      </c>
      <c r="V541" s="58">
        <v>5.0000000000000001E-4</v>
      </c>
      <c r="W541" s="33">
        <v>2.9999999999999997E-4</v>
      </c>
      <c r="X541" s="33">
        <v>2.0000000000000001E-4</v>
      </c>
      <c r="Y541" s="12" t="s">
        <v>3926</v>
      </c>
      <c r="Z541" s="33">
        <v>1.2999999999999999E-3</v>
      </c>
      <c r="AA541" s="33">
        <v>4.0000000000000002E-4</v>
      </c>
      <c r="AB541" s="25">
        <v>1206</v>
      </c>
      <c r="AC541" s="25">
        <v>973</v>
      </c>
      <c r="AD541" s="25">
        <v>21</v>
      </c>
      <c r="AE541" s="25">
        <v>0</v>
      </c>
      <c r="AF541" s="25">
        <v>190</v>
      </c>
      <c r="AG541" s="25">
        <v>14</v>
      </c>
      <c r="AH541" s="25">
        <v>8</v>
      </c>
      <c r="AI541" s="12">
        <v>2.75</v>
      </c>
      <c r="AJ541" s="25">
        <v>96807</v>
      </c>
      <c r="AK541" s="25">
        <v>6599</v>
      </c>
      <c r="AL541" s="33">
        <v>7.3200000000000001E-2</v>
      </c>
      <c r="AM541" s="3" t="s">
        <v>2736</v>
      </c>
      <c r="AN541" s="12" t="s">
        <v>1955</v>
      </c>
      <c r="AO541" s="12" t="s">
        <v>1955</v>
      </c>
      <c r="AP541" s="12" t="str">
        <f>"213466858671751"</f>
        <v>213466858671751</v>
      </c>
      <c r="AQ541" s="12" t="s">
        <v>1954</v>
      </c>
      <c r="AR541" s="12" t="s">
        <v>1956</v>
      </c>
      <c r="AS541" s="12" t="s">
        <v>2737</v>
      </c>
      <c r="AT541" s="12"/>
      <c r="AU541" s="12" t="s">
        <v>324</v>
      </c>
      <c r="AV541" s="12" t="s">
        <v>5911</v>
      </c>
      <c r="AW541" s="12" t="s">
        <v>1957</v>
      </c>
      <c r="AX541" s="12">
        <v>5277</v>
      </c>
      <c r="AY541" s="12">
        <v>649</v>
      </c>
      <c r="AZ541" s="12">
        <v>5277</v>
      </c>
      <c r="BA541" s="12" t="s">
        <v>1958</v>
      </c>
      <c r="BB541" s="12" t="s">
        <v>6893</v>
      </c>
      <c r="BC541" s="12" t="s">
        <v>6894</v>
      </c>
      <c r="BD541" s="12"/>
      <c r="BE541" s="12" t="s">
        <v>2291</v>
      </c>
      <c r="BF541" s="12"/>
      <c r="BG541" s="12"/>
      <c r="BH541" s="12"/>
      <c r="BI541" s="12" t="s">
        <v>2738</v>
      </c>
      <c r="BJ541" s="12" t="s">
        <v>1959</v>
      </c>
      <c r="BK541" s="12" t="s">
        <v>6584</v>
      </c>
      <c r="BL541" s="12" t="s">
        <v>2292</v>
      </c>
      <c r="BM541" s="12" t="s">
        <v>2292</v>
      </c>
      <c r="BN541" s="12" t="s">
        <v>2292</v>
      </c>
      <c r="BO541" s="12" t="s">
        <v>2292</v>
      </c>
      <c r="BP541" s="12" t="s">
        <v>2739</v>
      </c>
      <c r="BQ541" s="12"/>
      <c r="BR541" s="12"/>
      <c r="BS541" s="12"/>
      <c r="BT541" s="12">
        <v>22311001</v>
      </c>
      <c r="BU541" s="12" t="s">
        <v>326</v>
      </c>
      <c r="BV541" s="12"/>
      <c r="BW541" s="12" t="s">
        <v>3631</v>
      </c>
      <c r="BX541" s="12"/>
      <c r="BY541" s="13" t="s">
        <v>313</v>
      </c>
      <c r="BZ541" s="13" t="s">
        <v>6170</v>
      </c>
      <c r="CA541" s="13" t="s">
        <v>6170</v>
      </c>
      <c r="CB541" s="13" t="s">
        <v>312</v>
      </c>
      <c r="CC541" s="13"/>
      <c r="CD541" s="13" t="s">
        <v>6198</v>
      </c>
      <c r="CE541" s="13"/>
      <c r="CF541" s="13" t="s">
        <v>6178</v>
      </c>
    </row>
    <row r="542" spans="1:84" ht="18.600000000000001" customHeight="1" x14ac:dyDescent="0.25">
      <c r="A542" s="35" t="s">
        <v>199</v>
      </c>
      <c r="B542" s="13" t="s">
        <v>1967</v>
      </c>
      <c r="C542" s="3" t="s">
        <v>2447</v>
      </c>
      <c r="D542" s="12" t="s">
        <v>3555</v>
      </c>
      <c r="E542" s="12" t="s">
        <v>1960</v>
      </c>
      <c r="F542" s="12" t="s">
        <v>4022</v>
      </c>
      <c r="G542" s="25">
        <v>15148</v>
      </c>
      <c r="H542" s="25">
        <v>10744</v>
      </c>
      <c r="I542" s="25">
        <v>1042</v>
      </c>
      <c r="J542" s="25">
        <v>2132</v>
      </c>
      <c r="K542" s="25">
        <v>18182</v>
      </c>
      <c r="L542" s="25">
        <v>46321</v>
      </c>
      <c r="M542" s="25">
        <v>64503</v>
      </c>
      <c r="N542" s="31">
        <v>0.28000000000000003</v>
      </c>
      <c r="O542" s="25">
        <v>49957</v>
      </c>
      <c r="P542" s="25">
        <v>12326</v>
      </c>
      <c r="Q542" s="25">
        <v>1120</v>
      </c>
      <c r="R542" s="25">
        <v>34</v>
      </c>
      <c r="S542" s="25">
        <v>35</v>
      </c>
      <c r="T542" s="25">
        <v>27</v>
      </c>
      <c r="U542" s="61">
        <v>14</v>
      </c>
      <c r="V542" s="58">
        <v>5.3E-3</v>
      </c>
      <c r="W542" s="33">
        <v>1.1900000000000001E-2</v>
      </c>
      <c r="X542" s="33">
        <v>2.8E-3</v>
      </c>
      <c r="Y542" s="33">
        <v>7.6E-3</v>
      </c>
      <c r="Z542" s="33">
        <v>1.6899999999999998E-2</v>
      </c>
      <c r="AA542" s="33">
        <v>2E-3</v>
      </c>
      <c r="AB542" s="25">
        <v>426</v>
      </c>
      <c r="AC542" s="25">
        <v>104</v>
      </c>
      <c r="AD542" s="25">
        <v>31</v>
      </c>
      <c r="AE542" s="25">
        <v>13</v>
      </c>
      <c r="AF542" s="25">
        <v>28</v>
      </c>
      <c r="AG542" s="25">
        <v>246</v>
      </c>
      <c r="AH542" s="25">
        <v>4</v>
      </c>
      <c r="AI542" s="12">
        <v>0.97</v>
      </c>
      <c r="AJ542" s="25">
        <v>8401</v>
      </c>
      <c r="AK542" s="25">
        <v>3225</v>
      </c>
      <c r="AL542" s="33">
        <v>0.62309999999999999</v>
      </c>
      <c r="AM542" s="3" t="s">
        <v>2447</v>
      </c>
      <c r="AN542" s="12" t="s">
        <v>1960</v>
      </c>
      <c r="AO542" s="12" t="s">
        <v>1960</v>
      </c>
      <c r="AP542" s="12" t="str">
        <f>"285442564821627"</f>
        <v>285442564821627</v>
      </c>
      <c r="AQ542" s="12" t="s">
        <v>3555</v>
      </c>
      <c r="AR542" s="12" t="s">
        <v>5803</v>
      </c>
      <c r="AS542" s="12" t="s">
        <v>1961</v>
      </c>
      <c r="AT542" s="12" t="s">
        <v>2448</v>
      </c>
      <c r="AU542" s="12" t="s">
        <v>309</v>
      </c>
      <c r="AV542" s="12"/>
      <c r="AW542" s="12"/>
      <c r="AX542" s="12">
        <v>0</v>
      </c>
      <c r="AY542" s="12">
        <v>1466</v>
      </c>
      <c r="AZ542" s="12">
        <v>0</v>
      </c>
      <c r="BA542" s="12" t="s">
        <v>1962</v>
      </c>
      <c r="BB542" s="12" t="s">
        <v>5804</v>
      </c>
      <c r="BC542" s="12" t="s">
        <v>6480</v>
      </c>
      <c r="BD542" s="12" t="s">
        <v>1963</v>
      </c>
      <c r="BE542" s="12" t="s">
        <v>2291</v>
      </c>
      <c r="BF542" s="12"/>
      <c r="BG542" s="12"/>
      <c r="BH542" s="12"/>
      <c r="BI542" s="12"/>
      <c r="BJ542" s="12"/>
      <c r="BK542" s="12"/>
      <c r="BL542" s="12" t="s">
        <v>2292</v>
      </c>
      <c r="BM542" s="12" t="s">
        <v>2292</v>
      </c>
      <c r="BN542" s="12" t="s">
        <v>2292</v>
      </c>
      <c r="BO542" s="12" t="s">
        <v>2292</v>
      </c>
      <c r="BP542" s="12"/>
      <c r="BQ542" s="12"/>
      <c r="BR542" s="12" t="s">
        <v>1964</v>
      </c>
      <c r="BS542" s="12"/>
      <c r="BT542" s="12" t="s">
        <v>1965</v>
      </c>
      <c r="BU542" s="12"/>
      <c r="BV542" s="12"/>
      <c r="BW542" s="12" t="s">
        <v>1966</v>
      </c>
      <c r="BX542" s="12"/>
      <c r="BY542" s="13" t="s">
        <v>313</v>
      </c>
      <c r="BZ542" s="13" t="s">
        <v>6171</v>
      </c>
      <c r="CA542" s="13" t="s">
        <v>6170</v>
      </c>
      <c r="CB542" s="13" t="s">
        <v>312</v>
      </c>
      <c r="CC542" s="13"/>
      <c r="CD542" s="13" t="s">
        <v>6198</v>
      </c>
      <c r="CE542" s="13" t="s">
        <v>6175</v>
      </c>
      <c r="CF542" s="13"/>
    </row>
    <row r="543" spans="1:84" ht="18.600000000000001" customHeight="1" x14ac:dyDescent="0.25">
      <c r="A543" s="60" t="s">
        <v>199</v>
      </c>
      <c r="B543" s="2" t="s">
        <v>315</v>
      </c>
      <c r="C543" s="3" t="s">
        <v>3900</v>
      </c>
      <c r="D543" s="12" t="s">
        <v>1968</v>
      </c>
      <c r="E543" s="12" t="s">
        <v>4069</v>
      </c>
      <c r="F543" s="12" t="s">
        <v>4070</v>
      </c>
      <c r="G543" s="25">
        <v>5538</v>
      </c>
      <c r="H543" s="25">
        <v>2488</v>
      </c>
      <c r="I543" s="25">
        <v>256</v>
      </c>
      <c r="J543" s="25">
        <v>2559</v>
      </c>
      <c r="K543" s="25">
        <v>117567</v>
      </c>
      <c r="L543" s="25">
        <v>132049</v>
      </c>
      <c r="M543" s="25">
        <v>249616</v>
      </c>
      <c r="N543" s="31">
        <v>0.47</v>
      </c>
      <c r="O543" s="25">
        <v>4025</v>
      </c>
      <c r="P543" s="25">
        <v>2788</v>
      </c>
      <c r="Q543" s="25">
        <v>189</v>
      </c>
      <c r="R543" s="25">
        <v>17</v>
      </c>
      <c r="S543" s="25">
        <v>4</v>
      </c>
      <c r="T543" s="25">
        <v>21</v>
      </c>
      <c r="U543" s="61">
        <v>3</v>
      </c>
      <c r="V543" s="58">
        <v>2.5999999999999999E-3</v>
      </c>
      <c r="W543" s="33">
        <v>7.7000000000000002E-3</v>
      </c>
      <c r="X543" s="33">
        <v>5.9999999999999995E-4</v>
      </c>
      <c r="Y543" s="33">
        <v>5.9999999999999995E-4</v>
      </c>
      <c r="Z543" s="33">
        <v>2.5999999999999999E-3</v>
      </c>
      <c r="AA543" s="33">
        <v>5.9999999999999995E-4</v>
      </c>
      <c r="AB543" s="25">
        <v>1181</v>
      </c>
      <c r="AC543" s="25">
        <v>44</v>
      </c>
      <c r="AD543" s="25">
        <v>6</v>
      </c>
      <c r="AE543" s="25">
        <v>117</v>
      </c>
      <c r="AF543" s="25">
        <v>951</v>
      </c>
      <c r="AG543" s="25">
        <v>39</v>
      </c>
      <c r="AH543" s="25">
        <v>24</v>
      </c>
      <c r="AI543" s="12">
        <v>2.69</v>
      </c>
      <c r="AJ543" s="25">
        <v>2179</v>
      </c>
      <c r="AK543" s="25">
        <v>1235</v>
      </c>
      <c r="AL543" s="33">
        <v>1.3083</v>
      </c>
      <c r="AM543" s="3" t="s">
        <v>3900</v>
      </c>
      <c r="AN543" s="12" t="s">
        <v>4069</v>
      </c>
      <c r="AO543" s="12" t="s">
        <v>4069</v>
      </c>
      <c r="AP543" s="12" t="str">
        <f>"1886973244861393"</f>
        <v>1886973244861393</v>
      </c>
      <c r="AQ543" s="12" t="s">
        <v>1968</v>
      </c>
      <c r="AR543" s="12" t="s">
        <v>1969</v>
      </c>
      <c r="AS543" s="12" t="s">
        <v>1970</v>
      </c>
      <c r="AT543" s="12"/>
      <c r="AU543" s="12" t="s">
        <v>324</v>
      </c>
      <c r="AV543" s="12" t="s">
        <v>5731</v>
      </c>
      <c r="AW543" s="12"/>
      <c r="AX543" s="12">
        <v>0</v>
      </c>
      <c r="AY543" s="12">
        <v>218</v>
      </c>
      <c r="AZ543" s="12">
        <v>0</v>
      </c>
      <c r="BA543" s="12" t="s">
        <v>4560</v>
      </c>
      <c r="BB543" s="12" t="s">
        <v>6585</v>
      </c>
      <c r="BC543" s="12" t="s">
        <v>6586</v>
      </c>
      <c r="BD543" s="12"/>
      <c r="BE543" s="12" t="s">
        <v>2291</v>
      </c>
      <c r="BF543" s="12"/>
      <c r="BG543" s="12"/>
      <c r="BH543" s="12"/>
      <c r="BI543" s="12" t="s">
        <v>1970</v>
      </c>
      <c r="BJ543" s="12"/>
      <c r="BK543" s="12" t="s">
        <v>6587</v>
      </c>
      <c r="BL543" s="12" t="s">
        <v>2292</v>
      </c>
      <c r="BM543" s="12" t="s">
        <v>2292</v>
      </c>
      <c r="BN543" s="12" t="s">
        <v>2292</v>
      </c>
      <c r="BO543" s="12" t="s">
        <v>2292</v>
      </c>
      <c r="BP543" s="12"/>
      <c r="BQ543" s="12"/>
      <c r="BR543" s="12"/>
      <c r="BS543" s="12"/>
      <c r="BT543" s="12">
        <v>14734402061</v>
      </c>
      <c r="BU543" s="12" t="s">
        <v>326</v>
      </c>
      <c r="BV543" s="12"/>
      <c r="BW543" s="12" t="s">
        <v>6588</v>
      </c>
      <c r="BX543" s="12"/>
      <c r="BY543" s="13" t="s">
        <v>313</v>
      </c>
      <c r="BZ543" s="13" t="s">
        <v>6170</v>
      </c>
      <c r="CA543" s="13" t="s">
        <v>6170</v>
      </c>
      <c r="CB543" s="13" t="s">
        <v>6197</v>
      </c>
      <c r="CC543" s="13"/>
      <c r="CD543" s="13" t="s">
        <v>6198</v>
      </c>
      <c r="CE543" s="13"/>
      <c r="CF543" s="13"/>
    </row>
    <row r="544" spans="1:84" ht="18.600000000000001" customHeight="1" x14ac:dyDescent="0.25">
      <c r="A544" s="35" t="s">
        <v>200</v>
      </c>
      <c r="B544" s="13" t="s">
        <v>1975</v>
      </c>
      <c r="C544" s="3" t="s">
        <v>2614</v>
      </c>
      <c r="D544" s="12" t="s">
        <v>1972</v>
      </c>
      <c r="E544" s="12" t="s">
        <v>1971</v>
      </c>
      <c r="F544" s="12" t="s">
        <v>4120</v>
      </c>
      <c r="G544" s="25">
        <v>2883105</v>
      </c>
      <c r="H544" s="25">
        <v>2111210</v>
      </c>
      <c r="I544" s="25">
        <v>262634</v>
      </c>
      <c r="J544" s="25">
        <v>220188</v>
      </c>
      <c r="K544" s="25">
        <v>6077824</v>
      </c>
      <c r="L544" s="25">
        <v>3766196</v>
      </c>
      <c r="M544" s="25">
        <v>9844020</v>
      </c>
      <c r="N544" s="31">
        <v>0.62</v>
      </c>
      <c r="O544" s="25">
        <v>250108</v>
      </c>
      <c r="P544" s="25">
        <v>0</v>
      </c>
      <c r="Q544" s="25">
        <v>144169</v>
      </c>
      <c r="R544" s="25">
        <v>35758</v>
      </c>
      <c r="S544" s="25">
        <v>51262</v>
      </c>
      <c r="T544" s="25">
        <v>25825</v>
      </c>
      <c r="U544" s="61">
        <v>32038</v>
      </c>
      <c r="V544" s="58">
        <v>7.7000000000000002E-3</v>
      </c>
      <c r="W544" s="33">
        <v>7.4999999999999997E-3</v>
      </c>
      <c r="X544" s="33">
        <v>1.9E-3</v>
      </c>
      <c r="Y544" s="33">
        <v>1.2500000000000001E-2</v>
      </c>
      <c r="Z544" s="33">
        <v>9.1000000000000004E-3</v>
      </c>
      <c r="AA544" s="12" t="s">
        <v>3926</v>
      </c>
      <c r="AB544" s="25">
        <v>296</v>
      </c>
      <c r="AC544" s="25">
        <v>223</v>
      </c>
      <c r="AD544" s="25">
        <v>5</v>
      </c>
      <c r="AE544" s="25">
        <v>16</v>
      </c>
      <c r="AF544" s="25">
        <v>44</v>
      </c>
      <c r="AG544" s="25">
        <v>8</v>
      </c>
      <c r="AH544" s="25">
        <v>0</v>
      </c>
      <c r="AI544" s="12">
        <v>0.67</v>
      </c>
      <c r="AJ544" s="25">
        <v>1307031</v>
      </c>
      <c r="AK544" s="25">
        <v>112537</v>
      </c>
      <c r="AL544" s="33">
        <v>9.4200000000000006E-2</v>
      </c>
      <c r="AM544" s="3" t="s">
        <v>2614</v>
      </c>
      <c r="AN544" s="12" t="s">
        <v>1971</v>
      </c>
      <c r="AO544" s="12" t="s">
        <v>1971</v>
      </c>
      <c r="AP544" s="12" t="str">
        <f>"158778054194010"</f>
        <v>158778054194010</v>
      </c>
      <c r="AQ544" s="12" t="s">
        <v>1972</v>
      </c>
      <c r="AR544" s="12"/>
      <c r="AS544" s="12" t="s">
        <v>2615</v>
      </c>
      <c r="AT544" s="12" t="s">
        <v>2616</v>
      </c>
      <c r="AU544" s="12" t="s">
        <v>309</v>
      </c>
      <c r="AV544" s="12"/>
      <c r="AW544" s="12"/>
      <c r="AX544" s="12">
        <v>0</v>
      </c>
      <c r="AY544" s="12">
        <v>3815</v>
      </c>
      <c r="AZ544" s="12">
        <v>0</v>
      </c>
      <c r="BA544" s="12" t="s">
        <v>1973</v>
      </c>
      <c r="BB544" s="12" t="s">
        <v>5865</v>
      </c>
      <c r="BC544" s="12" t="s">
        <v>6696</v>
      </c>
      <c r="BD544" s="12" t="s">
        <v>1974</v>
      </c>
      <c r="BE544" s="12" t="s">
        <v>2291</v>
      </c>
      <c r="BF544" s="12"/>
      <c r="BG544" s="12"/>
      <c r="BH544" s="12"/>
      <c r="BI544" s="12"/>
      <c r="BJ544" s="12"/>
      <c r="BK544" s="12"/>
      <c r="BL544" s="12" t="s">
        <v>2292</v>
      </c>
      <c r="BM544" s="12" t="s">
        <v>2292</v>
      </c>
      <c r="BN544" s="12" t="s">
        <v>2292</v>
      </c>
      <c r="BO544" s="12" t="s">
        <v>2291</v>
      </c>
      <c r="BP544" s="12"/>
      <c r="BQ544" s="12"/>
      <c r="BR544" s="12"/>
      <c r="BS544" s="12"/>
      <c r="BT544" s="12"/>
      <c r="BU544" s="12"/>
      <c r="BV544" s="12"/>
      <c r="BW544" s="12" t="s">
        <v>3421</v>
      </c>
      <c r="BX544" s="12"/>
      <c r="BY544" s="13" t="s">
        <v>313</v>
      </c>
      <c r="BZ544" s="13" t="s">
        <v>312</v>
      </c>
      <c r="CA544" s="13"/>
      <c r="CB544" s="13"/>
      <c r="CC544" s="13"/>
      <c r="CD544" s="13"/>
      <c r="CE544" s="13"/>
      <c r="CF544" s="13"/>
    </row>
    <row r="545" spans="1:84" ht="18.600000000000001" customHeight="1" x14ac:dyDescent="0.25">
      <c r="A545" s="60" t="s">
        <v>200</v>
      </c>
      <c r="B545" s="2" t="s">
        <v>315</v>
      </c>
      <c r="C545" s="3" t="s">
        <v>2557</v>
      </c>
      <c r="D545" s="12" t="s">
        <v>1977</v>
      </c>
      <c r="E545" s="12" t="s">
        <v>1976</v>
      </c>
      <c r="F545" s="12" t="s">
        <v>4093</v>
      </c>
      <c r="G545" s="25">
        <v>894611</v>
      </c>
      <c r="H545" s="25">
        <v>532142</v>
      </c>
      <c r="I545" s="25">
        <v>102029</v>
      </c>
      <c r="J545" s="25">
        <v>149306</v>
      </c>
      <c r="K545" s="25">
        <v>8469216</v>
      </c>
      <c r="L545" s="25">
        <v>4936353</v>
      </c>
      <c r="M545" s="25">
        <v>13405569</v>
      </c>
      <c r="N545" s="31">
        <v>0.63</v>
      </c>
      <c r="O545" s="25">
        <v>108564</v>
      </c>
      <c r="P545" s="25">
        <v>1245328</v>
      </c>
      <c r="Q545" s="25">
        <v>40536</v>
      </c>
      <c r="R545" s="25">
        <v>8759</v>
      </c>
      <c r="S545" s="25">
        <v>28000</v>
      </c>
      <c r="T545" s="25">
        <v>4638</v>
      </c>
      <c r="U545" s="61">
        <v>29189</v>
      </c>
      <c r="V545" s="58">
        <v>1.6999999999999999E-3</v>
      </c>
      <c r="W545" s="33">
        <v>1.2999999999999999E-3</v>
      </c>
      <c r="X545" s="33">
        <v>1.4E-3</v>
      </c>
      <c r="Y545" s="12" t="s">
        <v>3926</v>
      </c>
      <c r="Z545" s="33">
        <v>2.3E-3</v>
      </c>
      <c r="AA545" s="33">
        <v>1.1999999999999999E-3</v>
      </c>
      <c r="AB545" s="25">
        <v>2164</v>
      </c>
      <c r="AC545" s="25">
        <v>1191</v>
      </c>
      <c r="AD545" s="25">
        <v>13</v>
      </c>
      <c r="AE545" s="25">
        <v>0</v>
      </c>
      <c r="AF545" s="25">
        <v>928</v>
      </c>
      <c r="AG545" s="25">
        <v>17</v>
      </c>
      <c r="AH545" s="25">
        <v>15</v>
      </c>
      <c r="AI545" s="12">
        <v>4.93</v>
      </c>
      <c r="AJ545" s="25">
        <v>277396</v>
      </c>
      <c r="AK545" s="25">
        <v>77128</v>
      </c>
      <c r="AL545" s="33">
        <v>0.3851</v>
      </c>
      <c r="AM545" s="3" t="s">
        <v>2557</v>
      </c>
      <c r="AN545" s="12" t="s">
        <v>1976</v>
      </c>
      <c r="AO545" s="12" t="s">
        <v>1976</v>
      </c>
      <c r="AP545" s="12" t="str">
        <f>"380117675350607"</f>
        <v>380117675350607</v>
      </c>
      <c r="AQ545" s="12" t="s">
        <v>1977</v>
      </c>
      <c r="AR545" s="12" t="s">
        <v>6629</v>
      </c>
      <c r="AS545" s="12" t="s">
        <v>4563</v>
      </c>
      <c r="AT545" s="12"/>
      <c r="AU545" s="12" t="s">
        <v>1111</v>
      </c>
      <c r="AV545" s="12" t="s">
        <v>5834</v>
      </c>
      <c r="AW545" s="12"/>
      <c r="AX545" s="12">
        <v>83</v>
      </c>
      <c r="AY545" s="12">
        <v>3802</v>
      </c>
      <c r="AZ545" s="12">
        <v>0</v>
      </c>
      <c r="BA545" s="12" t="s">
        <v>1978</v>
      </c>
      <c r="BB545" s="12" t="s">
        <v>6630</v>
      </c>
      <c r="BC545" s="12" t="s">
        <v>6631</v>
      </c>
      <c r="BD545" s="12"/>
      <c r="BE545" s="12" t="s">
        <v>2291</v>
      </c>
      <c r="BF545" s="12"/>
      <c r="BG545" s="12"/>
      <c r="BH545" s="12"/>
      <c r="BI545" s="12" t="s">
        <v>4563</v>
      </c>
      <c r="BJ545" s="12"/>
      <c r="BK545" s="12"/>
      <c r="BL545" s="12" t="s">
        <v>2292</v>
      </c>
      <c r="BM545" s="12" t="s">
        <v>2292</v>
      </c>
      <c r="BN545" s="12" t="s">
        <v>2292</v>
      </c>
      <c r="BO545" s="12" t="s">
        <v>2292</v>
      </c>
      <c r="BP545" s="12"/>
      <c r="BQ545" s="12"/>
      <c r="BR545" s="12"/>
      <c r="BS545" s="12"/>
      <c r="BT545" s="12">
        <v>23392502</v>
      </c>
      <c r="BU545" s="12" t="s">
        <v>326</v>
      </c>
      <c r="BV545" s="12"/>
      <c r="BW545" s="12" t="s">
        <v>4564</v>
      </c>
      <c r="BX545" s="12"/>
      <c r="BY545" s="13" t="s">
        <v>313</v>
      </c>
      <c r="BZ545" s="13" t="s">
        <v>6174</v>
      </c>
      <c r="CA545" s="13"/>
      <c r="CB545" s="13"/>
      <c r="CC545" s="13"/>
      <c r="CD545" s="13"/>
      <c r="CE545" s="13"/>
      <c r="CF545" s="13"/>
    </row>
    <row r="546" spans="1:84" ht="18.600000000000001" customHeight="1" x14ac:dyDescent="0.25">
      <c r="A546" s="60" t="s">
        <v>200</v>
      </c>
      <c r="B546" s="2" t="s">
        <v>335</v>
      </c>
      <c r="C546" s="3" t="s">
        <v>2725</v>
      </c>
      <c r="D546" s="12" t="s">
        <v>1980</v>
      </c>
      <c r="E546" s="12" t="s">
        <v>1979</v>
      </c>
      <c r="F546" s="12" t="s">
        <v>4193</v>
      </c>
      <c r="G546" s="25">
        <v>32215</v>
      </c>
      <c r="H546" s="25">
        <v>22299</v>
      </c>
      <c r="I546" s="25">
        <v>2177</v>
      </c>
      <c r="J546" s="25">
        <v>6044</v>
      </c>
      <c r="K546" s="25">
        <v>52918</v>
      </c>
      <c r="L546" s="25">
        <v>49363</v>
      </c>
      <c r="M546" s="25">
        <v>102281</v>
      </c>
      <c r="N546" s="31">
        <v>0.52</v>
      </c>
      <c r="O546" s="25">
        <v>129652</v>
      </c>
      <c r="P546" s="25">
        <v>19120</v>
      </c>
      <c r="Q546" s="25">
        <v>876</v>
      </c>
      <c r="R546" s="25">
        <v>139</v>
      </c>
      <c r="S546" s="25">
        <v>300</v>
      </c>
      <c r="T546" s="25">
        <v>78</v>
      </c>
      <c r="U546" s="61">
        <v>302</v>
      </c>
      <c r="V546" s="58">
        <v>8.0000000000000004E-4</v>
      </c>
      <c r="W546" s="33">
        <v>6.9999999999999999E-4</v>
      </c>
      <c r="X546" s="33">
        <v>1.8E-3</v>
      </c>
      <c r="Y546" s="33">
        <v>2.8E-3</v>
      </c>
      <c r="Z546" s="33">
        <v>1.4E-3</v>
      </c>
      <c r="AA546" s="33">
        <v>2.2000000000000001E-3</v>
      </c>
      <c r="AB546" s="25">
        <v>2048</v>
      </c>
      <c r="AC546" s="25">
        <v>1518</v>
      </c>
      <c r="AD546" s="25">
        <v>67</v>
      </c>
      <c r="AE546" s="25">
        <v>16</v>
      </c>
      <c r="AF546" s="25">
        <v>134</v>
      </c>
      <c r="AG546" s="25">
        <v>264</v>
      </c>
      <c r="AH546" s="25">
        <v>49</v>
      </c>
      <c r="AI546" s="12">
        <v>4.67</v>
      </c>
      <c r="AJ546" s="25">
        <v>19562</v>
      </c>
      <c r="AK546" s="25">
        <v>3549</v>
      </c>
      <c r="AL546" s="33">
        <v>0.22159999999999999</v>
      </c>
      <c r="AM546" s="3" t="s">
        <v>2725</v>
      </c>
      <c r="AN546" s="12" t="s">
        <v>1979</v>
      </c>
      <c r="AO546" s="12" t="s">
        <v>1979</v>
      </c>
      <c r="AP546" s="12" t="str">
        <f>"204768989731178"</f>
        <v>204768989731178</v>
      </c>
      <c r="AQ546" s="12" t="s">
        <v>1980</v>
      </c>
      <c r="AR546" s="12" t="s">
        <v>1981</v>
      </c>
      <c r="AS546" s="12" t="s">
        <v>1982</v>
      </c>
      <c r="AT546" s="12"/>
      <c r="AU546" s="12" t="s">
        <v>324</v>
      </c>
      <c r="AV546" s="12" t="s">
        <v>5731</v>
      </c>
      <c r="AW546" s="12"/>
      <c r="AX546" s="12">
        <v>199</v>
      </c>
      <c r="AY546" s="12">
        <v>168</v>
      </c>
      <c r="AZ546" s="12">
        <v>199</v>
      </c>
      <c r="BA546" s="12" t="s">
        <v>1983</v>
      </c>
      <c r="BB546" s="12" t="s">
        <v>6881</v>
      </c>
      <c r="BC546" s="12" t="s">
        <v>6882</v>
      </c>
      <c r="BD546" s="12"/>
      <c r="BE546" s="12" t="s">
        <v>2291</v>
      </c>
      <c r="BF546" s="12"/>
      <c r="BG546" s="12"/>
      <c r="BH546" s="12"/>
      <c r="BI546" s="12" t="s">
        <v>2726</v>
      </c>
      <c r="BJ546" s="12" t="s">
        <v>2727</v>
      </c>
      <c r="BK546" s="12" t="s">
        <v>6883</v>
      </c>
      <c r="BL546" s="12" t="s">
        <v>2292</v>
      </c>
      <c r="BM546" s="12" t="s">
        <v>2292</v>
      </c>
      <c r="BN546" s="12" t="s">
        <v>2292</v>
      </c>
      <c r="BO546" s="12" t="s">
        <v>2292</v>
      </c>
      <c r="BP546" s="12" t="s">
        <v>2728</v>
      </c>
      <c r="BQ546" s="12"/>
      <c r="BR546" s="12"/>
      <c r="BS546" s="12"/>
      <c r="BT546" s="12">
        <v>24100000</v>
      </c>
      <c r="BU546" s="12" t="s">
        <v>326</v>
      </c>
      <c r="BV546" s="12"/>
      <c r="BW546" s="12" t="s">
        <v>3246</v>
      </c>
      <c r="BX546" s="12"/>
      <c r="BY546" s="13" t="s">
        <v>313</v>
      </c>
      <c r="BZ546" s="13" t="s">
        <v>6173</v>
      </c>
      <c r="CA546" s="13" t="s">
        <v>6170</v>
      </c>
      <c r="CB546" s="13" t="s">
        <v>312</v>
      </c>
      <c r="CC546" s="13"/>
      <c r="CD546" s="13" t="s">
        <v>6198</v>
      </c>
      <c r="CE546" s="13"/>
      <c r="CF546" s="13"/>
    </row>
    <row r="547" spans="1:84" ht="18.600000000000001" customHeight="1" x14ac:dyDescent="0.25">
      <c r="A547" s="60" t="s">
        <v>201</v>
      </c>
      <c r="B547" s="2" t="s">
        <v>4849</v>
      </c>
      <c r="C547" s="3" t="s">
        <v>4857</v>
      </c>
      <c r="D547" s="12" t="s">
        <v>4866</v>
      </c>
      <c r="E547" s="12" t="s">
        <v>4851</v>
      </c>
      <c r="F547" s="12" t="s">
        <v>4867</v>
      </c>
      <c r="G547" s="25">
        <v>1743268</v>
      </c>
      <c r="H547" s="25">
        <v>1344840</v>
      </c>
      <c r="I547" s="25">
        <v>143501</v>
      </c>
      <c r="J547" s="25">
        <v>204264</v>
      </c>
      <c r="K547" s="25">
        <v>3459405</v>
      </c>
      <c r="L547" s="25">
        <v>1685349</v>
      </c>
      <c r="M547" s="25">
        <v>5144754</v>
      </c>
      <c r="N547" s="31">
        <v>0.67</v>
      </c>
      <c r="O547" s="25">
        <v>46761</v>
      </c>
      <c r="P547" s="25">
        <v>337338</v>
      </c>
      <c r="Q547" s="25">
        <v>41137</v>
      </c>
      <c r="R547" s="25">
        <v>2160</v>
      </c>
      <c r="S547" s="25">
        <v>2957</v>
      </c>
      <c r="T547" s="25">
        <v>3286</v>
      </c>
      <c r="U547" s="61">
        <v>1107</v>
      </c>
      <c r="V547" s="58">
        <v>6.4000000000000003E-3</v>
      </c>
      <c r="W547" s="33">
        <v>8.0999999999999996E-3</v>
      </c>
      <c r="X547" s="33">
        <v>2.8E-3</v>
      </c>
      <c r="Y547" s="33">
        <v>2.5999999999999999E-3</v>
      </c>
      <c r="Z547" s="33">
        <v>6.4999999999999997E-3</v>
      </c>
      <c r="AA547" s="33">
        <v>2E-3</v>
      </c>
      <c r="AB547" s="25">
        <v>667</v>
      </c>
      <c r="AC547" s="25">
        <v>446</v>
      </c>
      <c r="AD547" s="25">
        <v>68</v>
      </c>
      <c r="AE547" s="25">
        <v>31</v>
      </c>
      <c r="AF547" s="25">
        <v>116</v>
      </c>
      <c r="AG547" s="25">
        <v>5</v>
      </c>
      <c r="AH547" s="25">
        <v>1</v>
      </c>
      <c r="AI547" s="12">
        <v>1.52</v>
      </c>
      <c r="AJ547" s="25">
        <v>445453</v>
      </c>
      <c r="AK547" s="25">
        <v>157298</v>
      </c>
      <c r="AL547" s="33">
        <v>0.54590000000000005</v>
      </c>
      <c r="AM547" s="3" t="s">
        <v>4857</v>
      </c>
      <c r="AN547" s="12" t="s">
        <v>4851</v>
      </c>
      <c r="AO547" s="12" t="s">
        <v>4851</v>
      </c>
      <c r="AP547" s="12" t="str">
        <f>"1390429167954248"</f>
        <v>1390429167954248</v>
      </c>
      <c r="AQ547" s="12" t="s">
        <v>4866</v>
      </c>
      <c r="AR547" s="12" t="s">
        <v>4898</v>
      </c>
      <c r="AS547" s="12" t="s">
        <v>4899</v>
      </c>
      <c r="AT547" s="12" t="s">
        <v>4900</v>
      </c>
      <c r="AU547" s="12" t="s">
        <v>424</v>
      </c>
      <c r="AV547" s="12" t="s">
        <v>5868</v>
      </c>
      <c r="AW547" s="12"/>
      <c r="AX547" s="12">
        <v>5</v>
      </c>
      <c r="AY547" s="12">
        <v>5714</v>
      </c>
      <c r="AZ547" s="12">
        <v>0</v>
      </c>
      <c r="BA547" s="12" t="s">
        <v>4901</v>
      </c>
      <c r="BB547" s="12" t="s">
        <v>6710</v>
      </c>
      <c r="BC547" s="12" t="s">
        <v>6711</v>
      </c>
      <c r="BD547" s="12" t="s">
        <v>4902</v>
      </c>
      <c r="BE547" s="12" t="s">
        <v>2291</v>
      </c>
      <c r="BF547" s="12"/>
      <c r="BG547" s="12"/>
      <c r="BH547" s="12"/>
      <c r="BI547" s="12"/>
      <c r="BJ547" s="12"/>
      <c r="BK547" s="12"/>
      <c r="BL547" s="12" t="s">
        <v>2292</v>
      </c>
      <c r="BM547" s="12" t="s">
        <v>2292</v>
      </c>
      <c r="BN547" s="12" t="s">
        <v>2292</v>
      </c>
      <c r="BO547" s="12" t="s">
        <v>2291</v>
      </c>
      <c r="BP547" s="12"/>
      <c r="BQ547" s="12"/>
      <c r="BR547" s="12"/>
      <c r="BS547" s="12"/>
      <c r="BT547" s="12"/>
      <c r="BU547" s="12" t="s">
        <v>326</v>
      </c>
      <c r="BV547" s="12"/>
      <c r="BW547" s="12"/>
      <c r="BX547" s="12"/>
      <c r="BY547" s="13" t="s">
        <v>313</v>
      </c>
      <c r="BZ547" s="13" t="s">
        <v>6170</v>
      </c>
      <c r="CA547" s="13" t="s">
        <v>6170</v>
      </c>
      <c r="CB547" s="13" t="s">
        <v>312</v>
      </c>
      <c r="CC547" s="13"/>
      <c r="CD547" s="13" t="s">
        <v>6198</v>
      </c>
      <c r="CE547" s="13"/>
      <c r="CF547" s="13"/>
    </row>
    <row r="548" spans="1:84" ht="18.600000000000001" customHeight="1" x14ac:dyDescent="0.25">
      <c r="A548" s="60" t="s">
        <v>201</v>
      </c>
      <c r="B548" s="2" t="s">
        <v>4850</v>
      </c>
      <c r="C548" s="3" t="s">
        <v>4856</v>
      </c>
      <c r="D548" s="12" t="s">
        <v>4863</v>
      </c>
      <c r="E548" s="12" t="s">
        <v>4864</v>
      </c>
      <c r="F548" s="12" t="s">
        <v>4865</v>
      </c>
      <c r="G548" s="25">
        <v>54226</v>
      </c>
      <c r="H548" s="25">
        <v>36809</v>
      </c>
      <c r="I548" s="25">
        <v>7219</v>
      </c>
      <c r="J548" s="25">
        <v>8186</v>
      </c>
      <c r="K548" s="25">
        <v>117054</v>
      </c>
      <c r="L548" s="25">
        <v>92764</v>
      </c>
      <c r="M548" s="25">
        <v>209818</v>
      </c>
      <c r="N548" s="31">
        <v>0.56000000000000005</v>
      </c>
      <c r="O548" s="25">
        <v>2984</v>
      </c>
      <c r="P548" s="25">
        <v>119829</v>
      </c>
      <c r="Q548" s="25">
        <v>1559</v>
      </c>
      <c r="R548" s="25">
        <v>85</v>
      </c>
      <c r="S548" s="25">
        <v>171</v>
      </c>
      <c r="T548" s="25">
        <v>127</v>
      </c>
      <c r="U548" s="61">
        <v>70</v>
      </c>
      <c r="V548" s="58">
        <v>1.9699999999999999E-2</v>
      </c>
      <c r="W548" s="33">
        <v>2.24E-2</v>
      </c>
      <c r="X548" s="33">
        <v>5.7000000000000002E-3</v>
      </c>
      <c r="Y548" s="33">
        <v>2.5600000000000001E-2</v>
      </c>
      <c r="Z548" s="33">
        <v>2.8799999999999999E-2</v>
      </c>
      <c r="AA548" s="12" t="s">
        <v>3926</v>
      </c>
      <c r="AB548" s="25">
        <v>159</v>
      </c>
      <c r="AC548" s="25">
        <v>126</v>
      </c>
      <c r="AD548" s="25">
        <v>1</v>
      </c>
      <c r="AE548" s="25">
        <v>7</v>
      </c>
      <c r="AF548" s="25">
        <v>22</v>
      </c>
      <c r="AG548" s="25">
        <v>3</v>
      </c>
      <c r="AH548" s="25">
        <v>0</v>
      </c>
      <c r="AI548" s="12">
        <v>0.36</v>
      </c>
      <c r="AJ548" s="25">
        <v>25087</v>
      </c>
      <c r="AK548" s="25">
        <v>0</v>
      </c>
      <c r="AL548" s="31">
        <v>0</v>
      </c>
      <c r="AM548" s="3" t="s">
        <v>4856</v>
      </c>
      <c r="AN548" s="12" t="s">
        <v>4864</v>
      </c>
      <c r="AO548" s="12" t="s">
        <v>4864</v>
      </c>
      <c r="AP548" s="12" t="str">
        <f>"169635546877605"</f>
        <v>169635546877605</v>
      </c>
      <c r="AQ548" s="12" t="s">
        <v>4863</v>
      </c>
      <c r="AR548" s="12" t="s">
        <v>4895</v>
      </c>
      <c r="AS548" s="12" t="s">
        <v>4896</v>
      </c>
      <c r="AT548" s="12"/>
      <c r="AU548" s="12" t="s">
        <v>324</v>
      </c>
      <c r="AV548" s="12"/>
      <c r="AW548" s="12"/>
      <c r="AX548" s="12">
        <v>0</v>
      </c>
      <c r="AY548" s="12">
        <v>985</v>
      </c>
      <c r="AZ548" s="12">
        <v>0</v>
      </c>
      <c r="BA548" s="12" t="s">
        <v>4897</v>
      </c>
      <c r="BB548" s="12"/>
      <c r="BC548" s="12" t="s">
        <v>6695</v>
      </c>
      <c r="BD548" s="12"/>
      <c r="BE548" s="12" t="s">
        <v>2291</v>
      </c>
      <c r="BF548" s="12"/>
      <c r="BG548" s="12"/>
      <c r="BH548" s="12"/>
      <c r="BI548" s="12"/>
      <c r="BJ548" s="12"/>
      <c r="BK548" s="12"/>
      <c r="BL548" s="12" t="s">
        <v>2292</v>
      </c>
      <c r="BM548" s="12" t="s">
        <v>2292</v>
      </c>
      <c r="BN548" s="12" t="s">
        <v>2292</v>
      </c>
      <c r="BO548" s="12" t="s">
        <v>2291</v>
      </c>
      <c r="BP548" s="12"/>
      <c r="BQ548" s="12"/>
      <c r="BR548" s="12"/>
      <c r="BS548" s="12"/>
      <c r="BT548" s="12">
        <v>34555349</v>
      </c>
      <c r="BU548" s="12"/>
      <c r="BV548" s="12"/>
      <c r="BW548" s="12"/>
      <c r="BX548" s="12"/>
      <c r="BY548" s="13" t="s">
        <v>313</v>
      </c>
      <c r="BZ548" s="13" t="s">
        <v>6170</v>
      </c>
      <c r="CA548" s="13" t="s">
        <v>6170</v>
      </c>
      <c r="CB548" s="13" t="s">
        <v>312</v>
      </c>
      <c r="CC548" s="13"/>
      <c r="CD548" s="13" t="s">
        <v>6198</v>
      </c>
      <c r="CE548" s="13"/>
      <c r="CF548" s="13"/>
    </row>
    <row r="549" spans="1:84" ht="18.600000000000001" customHeight="1" x14ac:dyDescent="0.25">
      <c r="A549" s="60" t="s">
        <v>201</v>
      </c>
      <c r="B549" s="2" t="s">
        <v>315</v>
      </c>
      <c r="C549" s="3" t="s">
        <v>2925</v>
      </c>
      <c r="D549" s="12" t="s">
        <v>1986</v>
      </c>
      <c r="E549" s="12" t="s">
        <v>1985</v>
      </c>
      <c r="F549" s="12" t="s">
        <v>4320</v>
      </c>
      <c r="G549" s="25">
        <v>23315</v>
      </c>
      <c r="H549" s="25">
        <v>13242</v>
      </c>
      <c r="I549" s="25">
        <v>1926</v>
      </c>
      <c r="J549" s="25">
        <v>7510</v>
      </c>
      <c r="K549" s="25">
        <v>85992</v>
      </c>
      <c r="L549" s="25">
        <v>185395</v>
      </c>
      <c r="M549" s="25">
        <v>271387</v>
      </c>
      <c r="N549" s="31">
        <v>0.32</v>
      </c>
      <c r="O549" s="25">
        <v>943</v>
      </c>
      <c r="P549" s="25">
        <v>5902</v>
      </c>
      <c r="Q549" s="25">
        <v>458</v>
      </c>
      <c r="R549" s="25">
        <v>27</v>
      </c>
      <c r="S549" s="25">
        <v>55</v>
      </c>
      <c r="T549" s="25">
        <v>84</v>
      </c>
      <c r="U549" s="61">
        <v>13</v>
      </c>
      <c r="V549" s="58">
        <v>2.8E-3</v>
      </c>
      <c r="W549" s="33">
        <v>3.0000000000000001E-3</v>
      </c>
      <c r="X549" s="33">
        <v>1.4E-3</v>
      </c>
      <c r="Y549" s="33">
        <v>8.9999999999999998E-4</v>
      </c>
      <c r="Z549" s="33">
        <v>7.7000000000000002E-3</v>
      </c>
      <c r="AA549" s="33">
        <v>8.9999999999999998E-4</v>
      </c>
      <c r="AB549" s="25">
        <v>477</v>
      </c>
      <c r="AC549" s="25">
        <v>293</v>
      </c>
      <c r="AD549" s="25">
        <v>30</v>
      </c>
      <c r="AE549" s="25">
        <v>52</v>
      </c>
      <c r="AF549" s="25">
        <v>50</v>
      </c>
      <c r="AG549" s="25">
        <v>3</v>
      </c>
      <c r="AH549" s="25">
        <v>49</v>
      </c>
      <c r="AI549" s="12">
        <v>1.0900000000000001</v>
      </c>
      <c r="AJ549" s="25">
        <v>20688</v>
      </c>
      <c r="AK549" s="25">
        <v>8572</v>
      </c>
      <c r="AL549" s="33">
        <v>0.70750000000000002</v>
      </c>
      <c r="AM549" s="3" t="s">
        <v>2925</v>
      </c>
      <c r="AN549" s="12" t="s">
        <v>1985</v>
      </c>
      <c r="AO549" s="12" t="s">
        <v>1985</v>
      </c>
      <c r="AP549" s="12" t="str">
        <f>"297288580359145"</f>
        <v>297288580359145</v>
      </c>
      <c r="AQ549" s="12" t="s">
        <v>1986</v>
      </c>
      <c r="AR549" s="12" t="s">
        <v>1984</v>
      </c>
      <c r="AS549" s="12" t="s">
        <v>1987</v>
      </c>
      <c r="AT549" s="12"/>
      <c r="AU549" s="12" t="s">
        <v>324</v>
      </c>
      <c r="AV549" s="12" t="s">
        <v>5731</v>
      </c>
      <c r="AW549" s="12"/>
      <c r="AX549" s="12">
        <v>249</v>
      </c>
      <c r="AY549" s="12">
        <v>65</v>
      </c>
      <c r="AZ549" s="12">
        <v>249</v>
      </c>
      <c r="BA549" s="12" t="s">
        <v>1988</v>
      </c>
      <c r="BB549" s="12" t="s">
        <v>7152</v>
      </c>
      <c r="BC549" s="12" t="s">
        <v>7153</v>
      </c>
      <c r="BD549" s="12"/>
      <c r="BE549" s="12" t="s">
        <v>2291</v>
      </c>
      <c r="BF549" s="12"/>
      <c r="BG549" s="12"/>
      <c r="BH549" s="12"/>
      <c r="BI549" s="12"/>
      <c r="BJ549" s="12"/>
      <c r="BK549" s="12"/>
      <c r="BL549" s="12" t="s">
        <v>2292</v>
      </c>
      <c r="BM549" s="12" t="s">
        <v>2292</v>
      </c>
      <c r="BN549" s="12" t="s">
        <v>2292</v>
      </c>
      <c r="BO549" s="12" t="s">
        <v>2291</v>
      </c>
      <c r="BP549" s="12"/>
      <c r="BQ549" s="12"/>
      <c r="BR549" s="12"/>
      <c r="BS549" s="12"/>
      <c r="BT549" s="12" t="s">
        <v>3261</v>
      </c>
      <c r="BU549" s="12" t="s">
        <v>326</v>
      </c>
      <c r="BV549" s="12"/>
      <c r="BW549" s="12" t="s">
        <v>3667</v>
      </c>
      <c r="BX549" s="12"/>
      <c r="BY549" s="13" t="s">
        <v>313</v>
      </c>
      <c r="BZ549" s="13" t="s">
        <v>6177</v>
      </c>
      <c r="CA549" s="13"/>
      <c r="CB549" s="13"/>
      <c r="CC549" s="13"/>
      <c r="CD549" s="13"/>
      <c r="CE549" s="13"/>
      <c r="CF549" s="13"/>
    </row>
    <row r="550" spans="1:84" ht="18.600000000000001" customHeight="1" x14ac:dyDescent="0.25">
      <c r="A550" s="60" t="s">
        <v>201</v>
      </c>
      <c r="B550" s="2" t="s">
        <v>335</v>
      </c>
      <c r="C550" s="3" t="s">
        <v>3884</v>
      </c>
      <c r="D550" s="12" t="s">
        <v>3777</v>
      </c>
      <c r="E550" s="12" t="s">
        <v>1989</v>
      </c>
      <c r="F550" s="12" t="s">
        <v>4156</v>
      </c>
      <c r="G550" s="25">
        <v>91</v>
      </c>
      <c r="H550" s="25">
        <v>67</v>
      </c>
      <c r="I550" s="25">
        <v>0</v>
      </c>
      <c r="J550" s="25">
        <v>22</v>
      </c>
      <c r="K550" s="25">
        <v>45</v>
      </c>
      <c r="L550" s="25">
        <v>38</v>
      </c>
      <c r="M550" s="25">
        <v>83</v>
      </c>
      <c r="N550" s="31">
        <v>0.54</v>
      </c>
      <c r="O550" s="25">
        <v>0</v>
      </c>
      <c r="P550" s="25">
        <v>0</v>
      </c>
      <c r="Q550" s="25">
        <v>1</v>
      </c>
      <c r="R550" s="25">
        <v>0</v>
      </c>
      <c r="S550" s="25">
        <v>1</v>
      </c>
      <c r="T550" s="25">
        <v>0</v>
      </c>
      <c r="U550" s="61">
        <v>0</v>
      </c>
      <c r="V550" s="58">
        <v>8.0000000000000004E-4</v>
      </c>
      <c r="W550" s="33">
        <v>1E-3</v>
      </c>
      <c r="X550" s="33">
        <v>0</v>
      </c>
      <c r="Y550" s="12" t="s">
        <v>3926</v>
      </c>
      <c r="Z550" s="33">
        <v>1E-3</v>
      </c>
      <c r="AA550" s="12" t="s">
        <v>3926</v>
      </c>
      <c r="AB550" s="25">
        <v>19</v>
      </c>
      <c r="AC550" s="25">
        <v>16</v>
      </c>
      <c r="AD550" s="25">
        <v>2</v>
      </c>
      <c r="AE550" s="25">
        <v>0</v>
      </c>
      <c r="AF550" s="25">
        <v>1</v>
      </c>
      <c r="AG550" s="25">
        <v>0</v>
      </c>
      <c r="AH550" s="25">
        <v>0</v>
      </c>
      <c r="AI550" s="12">
        <v>0.04</v>
      </c>
      <c r="AJ550" s="25">
        <v>5222</v>
      </c>
      <c r="AK550" s="25">
        <v>119</v>
      </c>
      <c r="AL550" s="33">
        <v>2.3300000000000001E-2</v>
      </c>
      <c r="AM550" s="3" t="s">
        <v>3884</v>
      </c>
      <c r="AN550" s="12" t="s">
        <v>1989</v>
      </c>
      <c r="AO550" s="12" t="s">
        <v>1989</v>
      </c>
      <c r="AP550" s="12" t="str">
        <f>"1080289688671245"</f>
        <v>1080289688671245</v>
      </c>
      <c r="AQ550" s="12" t="s">
        <v>3777</v>
      </c>
      <c r="AR550" s="12" t="s">
        <v>4978</v>
      </c>
      <c r="AS550" s="12" t="s">
        <v>3778</v>
      </c>
      <c r="AT550" s="12"/>
      <c r="AU550" s="12" t="s">
        <v>324</v>
      </c>
      <c r="AV550" s="12"/>
      <c r="AW550" s="12"/>
      <c r="AX550" s="12">
        <v>0</v>
      </c>
      <c r="AY550" s="12">
        <v>0</v>
      </c>
      <c r="AZ550" s="12">
        <v>0</v>
      </c>
      <c r="BA550" s="12" t="s">
        <v>3779</v>
      </c>
      <c r="BB550" s="12"/>
      <c r="BC550" s="12" t="s">
        <v>6780</v>
      </c>
      <c r="BD550" s="12"/>
      <c r="BE550" s="12" t="s">
        <v>2291</v>
      </c>
      <c r="BF550" s="12"/>
      <c r="BG550" s="12"/>
      <c r="BH550" s="12"/>
      <c r="BI550" s="12"/>
      <c r="BJ550" s="12"/>
      <c r="BK550" s="12"/>
      <c r="BL550" s="12" t="s">
        <v>2292</v>
      </c>
      <c r="BM550" s="12" t="s">
        <v>2292</v>
      </c>
      <c r="BN550" s="12" t="s">
        <v>2292</v>
      </c>
      <c r="BO550" s="12" t="s">
        <v>2292</v>
      </c>
      <c r="BP550" s="12"/>
      <c r="BQ550" s="12"/>
      <c r="BR550" s="12"/>
      <c r="BS550" s="12"/>
      <c r="BT550" s="12"/>
      <c r="BU550" s="12"/>
      <c r="BV550" s="12"/>
      <c r="BW550" s="12"/>
      <c r="BX550" s="12"/>
      <c r="BY550" s="13" t="s">
        <v>313</v>
      </c>
      <c r="BZ550" s="13" t="s">
        <v>6170</v>
      </c>
      <c r="CA550" s="13" t="s">
        <v>6170</v>
      </c>
      <c r="CB550" s="13" t="s">
        <v>312</v>
      </c>
      <c r="CC550" s="13"/>
      <c r="CD550" s="13" t="s">
        <v>6198</v>
      </c>
      <c r="CE550" s="13"/>
      <c r="CF550" s="13"/>
    </row>
    <row r="551" spans="1:84" ht="18.600000000000001" customHeight="1" x14ac:dyDescent="0.25">
      <c r="A551" s="60" t="s">
        <v>202</v>
      </c>
      <c r="B551" s="2" t="s">
        <v>1993</v>
      </c>
      <c r="C551" s="3" t="s">
        <v>2623</v>
      </c>
      <c r="D551" s="12" t="s">
        <v>1991</v>
      </c>
      <c r="E551" s="12" t="s">
        <v>1990</v>
      </c>
      <c r="F551" s="12" t="s">
        <v>4124</v>
      </c>
      <c r="G551" s="25">
        <v>7811897</v>
      </c>
      <c r="H551" s="25">
        <v>4994880</v>
      </c>
      <c r="I551" s="25">
        <v>892403</v>
      </c>
      <c r="J551" s="25">
        <v>1228876</v>
      </c>
      <c r="K551" s="25">
        <v>11431837</v>
      </c>
      <c r="L551" s="25">
        <v>6337158</v>
      </c>
      <c r="M551" s="25">
        <v>17768995</v>
      </c>
      <c r="N551" s="31">
        <v>0.64</v>
      </c>
      <c r="O551" s="25">
        <v>245648</v>
      </c>
      <c r="P551" s="25">
        <v>1509348</v>
      </c>
      <c r="Q551" s="25">
        <v>537209</v>
      </c>
      <c r="R551" s="25">
        <v>13455</v>
      </c>
      <c r="S551" s="25">
        <v>90112</v>
      </c>
      <c r="T551" s="25">
        <v>8609</v>
      </c>
      <c r="U551" s="61">
        <v>46314</v>
      </c>
      <c r="V551" s="58">
        <v>1.0800000000000001E-2</v>
      </c>
      <c r="W551" s="33">
        <v>9.7000000000000003E-3</v>
      </c>
      <c r="X551" s="33">
        <v>6.6E-3</v>
      </c>
      <c r="Y551" s="33">
        <v>9.1000000000000004E-3</v>
      </c>
      <c r="Z551" s="33">
        <v>1.14E-2</v>
      </c>
      <c r="AA551" s="33">
        <v>2.5999999999999999E-3</v>
      </c>
      <c r="AB551" s="25">
        <v>2183</v>
      </c>
      <c r="AC551" s="25">
        <v>1211</v>
      </c>
      <c r="AD551" s="25">
        <v>228</v>
      </c>
      <c r="AE551" s="25">
        <v>48</v>
      </c>
      <c r="AF551" s="25">
        <v>658</v>
      </c>
      <c r="AG551" s="25">
        <v>36</v>
      </c>
      <c r="AH551" s="25">
        <v>2</v>
      </c>
      <c r="AI551" s="12">
        <v>4.97</v>
      </c>
      <c r="AJ551" s="25">
        <v>569141</v>
      </c>
      <c r="AK551" s="25">
        <v>365539</v>
      </c>
      <c r="AL551" s="33">
        <v>1.7954000000000001</v>
      </c>
      <c r="AM551" s="3" t="s">
        <v>2623</v>
      </c>
      <c r="AN551" s="12" t="s">
        <v>1990</v>
      </c>
      <c r="AO551" s="12" t="s">
        <v>1990</v>
      </c>
      <c r="AP551" s="12" t="str">
        <f>"124300620957187"</f>
        <v>124300620957187</v>
      </c>
      <c r="AQ551" s="12" t="s">
        <v>1991</v>
      </c>
      <c r="AR551" s="12" t="s">
        <v>1997</v>
      </c>
      <c r="AS551" s="12" t="s">
        <v>5869</v>
      </c>
      <c r="AT551" s="12" t="s">
        <v>3221</v>
      </c>
      <c r="AU551" s="12" t="s">
        <v>309</v>
      </c>
      <c r="AV551" s="12"/>
      <c r="AW551" s="12"/>
      <c r="AX551" s="12">
        <v>0</v>
      </c>
      <c r="AY551" s="12">
        <v>120786</v>
      </c>
      <c r="AZ551" s="12">
        <v>0</v>
      </c>
      <c r="BA551" s="12" t="s">
        <v>1992</v>
      </c>
      <c r="BB551" s="12"/>
      <c r="BC551" s="12" t="s">
        <v>6712</v>
      </c>
      <c r="BD551" s="12" t="s">
        <v>1974</v>
      </c>
      <c r="BE551" s="12" t="s">
        <v>2291</v>
      </c>
      <c r="BF551" s="12"/>
      <c r="BG551" s="12"/>
      <c r="BH551" s="12"/>
      <c r="BI551" s="12"/>
      <c r="BJ551" s="12"/>
      <c r="BK551" s="12"/>
      <c r="BL551" s="12" t="s">
        <v>2292</v>
      </c>
      <c r="BM551" s="12" t="s">
        <v>2292</v>
      </c>
      <c r="BN551" s="12" t="s">
        <v>2292</v>
      </c>
      <c r="BO551" s="12" t="s">
        <v>2291</v>
      </c>
      <c r="BP551" s="12"/>
      <c r="BQ551" s="12"/>
      <c r="BR551" s="12"/>
      <c r="BS551" s="12"/>
      <c r="BT551" s="12"/>
      <c r="BU551" s="12"/>
      <c r="BV551" s="12"/>
      <c r="BW551" s="12"/>
      <c r="BX551" s="12"/>
      <c r="BY551" s="13" t="s">
        <v>313</v>
      </c>
      <c r="BZ551" s="13" t="s">
        <v>6170</v>
      </c>
      <c r="CA551" s="13" t="s">
        <v>6170</v>
      </c>
      <c r="CB551" s="13" t="s">
        <v>312</v>
      </c>
      <c r="CC551" s="13"/>
      <c r="CD551" s="13" t="s">
        <v>6198</v>
      </c>
      <c r="CE551" s="13" t="s">
        <v>6175</v>
      </c>
      <c r="CF551" s="13"/>
    </row>
    <row r="552" spans="1:84" ht="18.600000000000001" customHeight="1" x14ac:dyDescent="0.25">
      <c r="A552" s="60" t="s">
        <v>202</v>
      </c>
      <c r="B552" s="2" t="s">
        <v>314</v>
      </c>
      <c r="C552" s="3" t="s">
        <v>2393</v>
      </c>
      <c r="D552" s="12" t="s">
        <v>1995</v>
      </c>
      <c r="E552" s="12" t="s">
        <v>1994</v>
      </c>
      <c r="F552" s="12" t="s">
        <v>3989</v>
      </c>
      <c r="G552" s="25">
        <v>316068</v>
      </c>
      <c r="H552" s="25">
        <v>190360</v>
      </c>
      <c r="I552" s="25">
        <v>52020</v>
      </c>
      <c r="J552" s="25">
        <v>43893</v>
      </c>
      <c r="K552" s="25">
        <v>1247688</v>
      </c>
      <c r="L552" s="25">
        <v>269908</v>
      </c>
      <c r="M552" s="25">
        <v>1517596</v>
      </c>
      <c r="N552" s="31">
        <v>0.82</v>
      </c>
      <c r="O552" s="25">
        <v>53779</v>
      </c>
      <c r="P552" s="25">
        <v>68122</v>
      </c>
      <c r="Q552" s="25">
        <v>14176</v>
      </c>
      <c r="R552" s="25">
        <v>635</v>
      </c>
      <c r="S552" s="25">
        <v>7401</v>
      </c>
      <c r="T552" s="25">
        <v>682</v>
      </c>
      <c r="U552" s="61">
        <v>6899</v>
      </c>
      <c r="V552" s="58">
        <v>2.8E-3</v>
      </c>
      <c r="W552" s="33">
        <v>3.0000000000000001E-3</v>
      </c>
      <c r="X552" s="33">
        <v>2.5000000000000001E-3</v>
      </c>
      <c r="Y552" s="33">
        <v>2.0999999999999999E-3</v>
      </c>
      <c r="Z552" s="33">
        <v>3.8E-3</v>
      </c>
      <c r="AA552" s="33">
        <v>8.9999999999999998E-4</v>
      </c>
      <c r="AB552" s="25">
        <v>1628</v>
      </c>
      <c r="AC552" s="25">
        <v>935</v>
      </c>
      <c r="AD552" s="25">
        <v>335</v>
      </c>
      <c r="AE552" s="25">
        <v>9</v>
      </c>
      <c r="AF552" s="25">
        <v>254</v>
      </c>
      <c r="AG552" s="25">
        <v>88</v>
      </c>
      <c r="AH552" s="25">
        <v>7</v>
      </c>
      <c r="AI552" s="12">
        <v>3.71</v>
      </c>
      <c r="AJ552" s="25">
        <v>79799</v>
      </c>
      <c r="AK552" s="25">
        <v>30032</v>
      </c>
      <c r="AL552" s="33">
        <v>0.60350000000000004</v>
      </c>
      <c r="AM552" s="3" t="s">
        <v>2393</v>
      </c>
      <c r="AN552" s="12" t="s">
        <v>1994</v>
      </c>
      <c r="AO552" s="12" t="s">
        <v>1994</v>
      </c>
      <c r="AP552" s="12" t="str">
        <f>"148653345178694"</f>
        <v>148653345178694</v>
      </c>
      <c r="AQ552" s="12" t="s">
        <v>1995</v>
      </c>
      <c r="AR552" s="12" t="s">
        <v>4812</v>
      </c>
      <c r="AS552" s="12" t="s">
        <v>2394</v>
      </c>
      <c r="AT552" s="12"/>
      <c r="AU552" s="12" t="s">
        <v>324</v>
      </c>
      <c r="AV552" s="12" t="s">
        <v>5770</v>
      </c>
      <c r="AW552" s="12"/>
      <c r="AX552" s="12">
        <v>6400</v>
      </c>
      <c r="AY552" s="12">
        <v>1505</v>
      </c>
      <c r="AZ552" s="12">
        <v>0</v>
      </c>
      <c r="BA552" s="12" t="s">
        <v>1996</v>
      </c>
      <c r="BB552" s="12" t="s">
        <v>6413</v>
      </c>
      <c r="BC552" s="12" t="s">
        <v>6414</v>
      </c>
      <c r="BD552" s="12"/>
      <c r="BE552" s="12" t="s">
        <v>2291</v>
      </c>
      <c r="BF552" s="12"/>
      <c r="BG552" s="12"/>
      <c r="BH552" s="12"/>
      <c r="BI552" s="12"/>
      <c r="BJ552" s="12"/>
      <c r="BK552" s="12"/>
      <c r="BL552" s="12" t="s">
        <v>2292</v>
      </c>
      <c r="BM552" s="12" t="s">
        <v>2292</v>
      </c>
      <c r="BN552" s="12" t="s">
        <v>2292</v>
      </c>
      <c r="BO552" s="12" t="s">
        <v>2292</v>
      </c>
      <c r="BP552" s="12"/>
      <c r="BQ552" s="12"/>
      <c r="BR552" s="12"/>
      <c r="BS552" s="12"/>
      <c r="BT552" s="12">
        <v>22905000</v>
      </c>
      <c r="BU552" s="12" t="s">
        <v>326</v>
      </c>
      <c r="BV552" s="12"/>
      <c r="BW552" s="12" t="s">
        <v>4521</v>
      </c>
      <c r="BX552" s="12"/>
      <c r="BY552" s="13" t="s">
        <v>313</v>
      </c>
      <c r="BZ552" s="13" t="s">
        <v>6170</v>
      </c>
      <c r="CA552" s="13" t="s">
        <v>6170</v>
      </c>
      <c r="CB552" s="13" t="s">
        <v>312</v>
      </c>
      <c r="CC552" s="13"/>
      <c r="CD552" s="13" t="s">
        <v>6198</v>
      </c>
      <c r="CE552" s="13"/>
      <c r="CF552" s="13"/>
    </row>
    <row r="553" spans="1:84" ht="18.600000000000001" customHeight="1" x14ac:dyDescent="0.25">
      <c r="A553" s="35" t="s">
        <v>202</v>
      </c>
      <c r="B553" s="13" t="s">
        <v>314</v>
      </c>
      <c r="C553" s="3" t="s">
        <v>2463</v>
      </c>
      <c r="D553" s="12" t="s">
        <v>3762</v>
      </c>
      <c r="E553" s="12" t="s">
        <v>1998</v>
      </c>
      <c r="F553" s="12" t="s">
        <v>4041</v>
      </c>
      <c r="G553" s="25">
        <v>172709</v>
      </c>
      <c r="H553" s="25">
        <v>91163</v>
      </c>
      <c r="I553" s="25">
        <v>48624</v>
      </c>
      <c r="J553" s="25">
        <v>27119</v>
      </c>
      <c r="K553" s="25">
        <v>273778</v>
      </c>
      <c r="L553" s="25">
        <v>82636</v>
      </c>
      <c r="M553" s="25">
        <v>356414</v>
      </c>
      <c r="N553" s="31">
        <v>0.77</v>
      </c>
      <c r="O553" s="25">
        <v>16843</v>
      </c>
      <c r="P553" s="25">
        <v>0</v>
      </c>
      <c r="Q553" s="25">
        <v>2805</v>
      </c>
      <c r="R553" s="25">
        <v>219</v>
      </c>
      <c r="S553" s="25">
        <v>2296</v>
      </c>
      <c r="T553" s="25">
        <v>73</v>
      </c>
      <c r="U553" s="61">
        <v>410</v>
      </c>
      <c r="V553" s="58">
        <v>1.5E-3</v>
      </c>
      <c r="W553" s="33">
        <v>1.4E-3</v>
      </c>
      <c r="X553" s="33">
        <v>2E-3</v>
      </c>
      <c r="Y553" s="33">
        <v>5.9999999999999995E-4</v>
      </c>
      <c r="Z553" s="33">
        <v>3.8999999999999998E-3</v>
      </c>
      <c r="AA553" s="33">
        <v>1E-3</v>
      </c>
      <c r="AB553" s="25">
        <v>2928</v>
      </c>
      <c r="AC553" s="25">
        <v>2740</v>
      </c>
      <c r="AD553" s="25">
        <v>11</v>
      </c>
      <c r="AE553" s="25">
        <v>2</v>
      </c>
      <c r="AF553" s="25">
        <v>108</v>
      </c>
      <c r="AG553" s="25">
        <v>58</v>
      </c>
      <c r="AH553" s="25">
        <v>9</v>
      </c>
      <c r="AI553" s="12">
        <v>6.67</v>
      </c>
      <c r="AJ553" s="25">
        <v>41293</v>
      </c>
      <c r="AK553" s="25">
        <v>5953</v>
      </c>
      <c r="AL553" s="33">
        <v>0.16839999999999999</v>
      </c>
      <c r="AM553" s="3" t="s">
        <v>2463</v>
      </c>
      <c r="AN553" s="12" t="s">
        <v>1998</v>
      </c>
      <c r="AO553" s="12" t="s">
        <v>1998</v>
      </c>
      <c r="AP553" s="12" t="str">
        <f>"1551160231765885"</f>
        <v>1551160231765885</v>
      </c>
      <c r="AQ553" s="12" t="s">
        <v>3762</v>
      </c>
      <c r="AR553" s="12" t="s">
        <v>1997</v>
      </c>
      <c r="AS553" s="12" t="s">
        <v>3763</v>
      </c>
      <c r="AT553" s="12"/>
      <c r="AU553" s="12" t="s">
        <v>324</v>
      </c>
      <c r="AV553" s="12" t="s">
        <v>5731</v>
      </c>
      <c r="AW553" s="12"/>
      <c r="AX553" s="12">
        <v>0</v>
      </c>
      <c r="AY553" s="12">
        <v>417</v>
      </c>
      <c r="AZ553" s="12">
        <v>0</v>
      </c>
      <c r="BA553" s="12" t="s">
        <v>1999</v>
      </c>
      <c r="BB553" s="12" t="s">
        <v>6525</v>
      </c>
      <c r="BC553" s="12" t="s">
        <v>6526</v>
      </c>
      <c r="BD553" s="12"/>
      <c r="BE553" s="12" t="s">
        <v>2291</v>
      </c>
      <c r="BF553" s="12"/>
      <c r="BG553" s="12"/>
      <c r="BH553" s="12"/>
      <c r="BI553" s="12"/>
      <c r="BJ553" s="12"/>
      <c r="BK553" s="12"/>
      <c r="BL553" s="12" t="s">
        <v>2292</v>
      </c>
      <c r="BM553" s="12" t="s">
        <v>2292</v>
      </c>
      <c r="BN553" s="12" t="s">
        <v>2292</v>
      </c>
      <c r="BO553" s="12" t="s">
        <v>2292</v>
      </c>
      <c r="BP553" s="12" t="s">
        <v>3764</v>
      </c>
      <c r="BQ553" s="12"/>
      <c r="BR553" s="12"/>
      <c r="BS553" s="12"/>
      <c r="BT553" s="12">
        <v>96601223</v>
      </c>
      <c r="BU553" s="12" t="s">
        <v>326</v>
      </c>
      <c r="BV553" s="12"/>
      <c r="BW553" s="12" t="s">
        <v>3765</v>
      </c>
      <c r="BX553" s="12"/>
      <c r="BY553" s="13" t="s">
        <v>313</v>
      </c>
      <c r="BZ553" s="13" t="s">
        <v>6170</v>
      </c>
      <c r="CA553" s="13" t="s">
        <v>6170</v>
      </c>
      <c r="CB553" s="13" t="s">
        <v>312</v>
      </c>
      <c r="CC553" s="13"/>
      <c r="CD553" s="13" t="s">
        <v>6198</v>
      </c>
      <c r="CE553" s="13"/>
      <c r="CF553" s="13"/>
    </row>
    <row r="554" spans="1:84" ht="18.600000000000001" customHeight="1" x14ac:dyDescent="0.25">
      <c r="A554" s="60" t="s">
        <v>202</v>
      </c>
      <c r="B554" s="2" t="s">
        <v>315</v>
      </c>
      <c r="C554" s="3" t="s">
        <v>2405</v>
      </c>
      <c r="D554" s="12" t="s">
        <v>2001</v>
      </c>
      <c r="E554" s="12" t="s">
        <v>2000</v>
      </c>
      <c r="F554" s="12" t="s">
        <v>3997</v>
      </c>
      <c r="G554" s="25">
        <v>30</v>
      </c>
      <c r="H554" s="25">
        <v>17</v>
      </c>
      <c r="I554" s="25">
        <v>13</v>
      </c>
      <c r="J554" s="25">
        <v>0</v>
      </c>
      <c r="K554" s="25">
        <v>0</v>
      </c>
      <c r="L554" s="25">
        <v>0</v>
      </c>
      <c r="M554" s="25">
        <v>0</v>
      </c>
      <c r="N554" s="31">
        <v>0</v>
      </c>
      <c r="O554" s="25">
        <v>0</v>
      </c>
      <c r="P554" s="25">
        <v>0</v>
      </c>
      <c r="Q554" s="25">
        <v>0</v>
      </c>
      <c r="R554" s="25">
        <v>0</v>
      </c>
      <c r="S554" s="25">
        <v>0</v>
      </c>
      <c r="T554" s="25">
        <v>0</v>
      </c>
      <c r="U554" s="61">
        <v>0</v>
      </c>
      <c r="V554" s="58">
        <v>2.5000000000000001E-3</v>
      </c>
      <c r="W554" s="12" t="s">
        <v>3926</v>
      </c>
      <c r="X554" s="33">
        <v>2.3999999999999998E-3</v>
      </c>
      <c r="Y554" s="12" t="s">
        <v>3926</v>
      </c>
      <c r="Z554" s="12" t="s">
        <v>3926</v>
      </c>
      <c r="AA554" s="12" t="s">
        <v>3926</v>
      </c>
      <c r="AB554" s="25">
        <v>4</v>
      </c>
      <c r="AC554" s="25">
        <v>0</v>
      </c>
      <c r="AD554" s="25">
        <v>4</v>
      </c>
      <c r="AE554" s="25">
        <v>0</v>
      </c>
      <c r="AF554" s="25">
        <v>0</v>
      </c>
      <c r="AG554" s="25">
        <v>0</v>
      </c>
      <c r="AH554" s="25">
        <v>0</v>
      </c>
      <c r="AI554" s="12">
        <v>0.01</v>
      </c>
      <c r="AJ554" s="25">
        <v>3301</v>
      </c>
      <c r="AK554" s="25">
        <v>768</v>
      </c>
      <c r="AL554" s="33">
        <v>0.30320000000000003</v>
      </c>
      <c r="AM554" s="3" t="s">
        <v>2405</v>
      </c>
      <c r="AN554" s="12" t="s">
        <v>2000</v>
      </c>
      <c r="AO554" s="12" t="s">
        <v>2000</v>
      </c>
      <c r="AP554" s="12" t="str">
        <f>"136751733064498"</f>
        <v>136751733064498</v>
      </c>
      <c r="AQ554" s="12" t="s">
        <v>2001</v>
      </c>
      <c r="AR554" s="12" t="s">
        <v>2002</v>
      </c>
      <c r="AS554" s="12" t="s">
        <v>2003</v>
      </c>
      <c r="AT554" s="12"/>
      <c r="AU554" s="12" t="s">
        <v>324</v>
      </c>
      <c r="AV554" s="12"/>
      <c r="AW554" s="12"/>
      <c r="AX554" s="12">
        <v>0</v>
      </c>
      <c r="AY554" s="12">
        <v>15</v>
      </c>
      <c r="AZ554" s="12">
        <v>0</v>
      </c>
      <c r="BA554" s="12" t="s">
        <v>2004</v>
      </c>
      <c r="BB554" s="12" t="s">
        <v>5777</v>
      </c>
      <c r="BC554" s="12" t="s">
        <v>6429</v>
      </c>
      <c r="BD554" s="12"/>
      <c r="BE554" s="12" t="s">
        <v>2291</v>
      </c>
      <c r="BF554" s="12"/>
      <c r="BG554" s="12"/>
      <c r="BH554" s="12"/>
      <c r="BI554" s="12" t="s">
        <v>2005</v>
      </c>
      <c r="BJ554" s="12"/>
      <c r="BK554" s="12"/>
      <c r="BL554" s="12" t="s">
        <v>2292</v>
      </c>
      <c r="BM554" s="12" t="s">
        <v>2292</v>
      </c>
      <c r="BN554" s="12" t="s">
        <v>2292</v>
      </c>
      <c r="BO554" s="12" t="s">
        <v>2292</v>
      </c>
      <c r="BP554" s="12" t="s">
        <v>2006</v>
      </c>
      <c r="BQ554" s="12"/>
      <c r="BR554" s="12"/>
      <c r="BS554" s="12"/>
      <c r="BT554" s="12" t="s">
        <v>2406</v>
      </c>
      <c r="BU554" s="12"/>
      <c r="BV554" s="12"/>
      <c r="BW554" s="12" t="s">
        <v>2407</v>
      </c>
      <c r="BX554" s="12"/>
      <c r="BY554" s="13" t="s">
        <v>313</v>
      </c>
      <c r="BZ554" s="13" t="s">
        <v>6170</v>
      </c>
      <c r="CA554" s="13" t="s">
        <v>6170</v>
      </c>
      <c r="CB554" s="13" t="s">
        <v>312</v>
      </c>
      <c r="CC554" s="13"/>
      <c r="CD554" s="13" t="s">
        <v>6198</v>
      </c>
      <c r="CE554" s="13"/>
      <c r="CF554" s="13"/>
    </row>
    <row r="555" spans="1:84" ht="18.600000000000001" customHeight="1" x14ac:dyDescent="0.25">
      <c r="A555" s="60" t="s">
        <v>202</v>
      </c>
      <c r="B555" s="2" t="s">
        <v>335</v>
      </c>
      <c r="C555" s="3" t="s">
        <v>2977</v>
      </c>
      <c r="D555" s="12" t="s">
        <v>4673</v>
      </c>
      <c r="E555" s="12" t="s">
        <v>2007</v>
      </c>
      <c r="F555" s="12" t="s">
        <v>4353</v>
      </c>
      <c r="G555" s="25">
        <v>31003</v>
      </c>
      <c r="H555" s="25">
        <v>20746</v>
      </c>
      <c r="I555" s="25">
        <v>1431</v>
      </c>
      <c r="J555" s="25">
        <v>6913</v>
      </c>
      <c r="K555" s="25">
        <v>13106</v>
      </c>
      <c r="L555" s="25">
        <v>6713</v>
      </c>
      <c r="M555" s="25">
        <v>19819</v>
      </c>
      <c r="N555" s="31">
        <v>0.66</v>
      </c>
      <c r="O555" s="25">
        <v>13950</v>
      </c>
      <c r="P555" s="25">
        <v>0</v>
      </c>
      <c r="Q555" s="25">
        <v>925</v>
      </c>
      <c r="R555" s="25">
        <v>197</v>
      </c>
      <c r="S555" s="25">
        <v>519</v>
      </c>
      <c r="T555" s="25">
        <v>47</v>
      </c>
      <c r="U555" s="61">
        <v>224</v>
      </c>
      <c r="V555" s="58">
        <v>2.2000000000000001E-3</v>
      </c>
      <c r="W555" s="33">
        <v>2.3E-3</v>
      </c>
      <c r="X555" s="33">
        <v>8.9999999999999998E-4</v>
      </c>
      <c r="Y555" s="33">
        <v>1.6000000000000001E-3</v>
      </c>
      <c r="Z555" s="33">
        <v>3.0999999999999999E-3</v>
      </c>
      <c r="AA555" s="33">
        <v>1.5E-3</v>
      </c>
      <c r="AB555" s="25">
        <v>1668</v>
      </c>
      <c r="AC555" s="25">
        <v>1435</v>
      </c>
      <c r="AD555" s="25">
        <v>81</v>
      </c>
      <c r="AE555" s="25">
        <v>24</v>
      </c>
      <c r="AF555" s="25">
        <v>35</v>
      </c>
      <c r="AG555" s="25">
        <v>63</v>
      </c>
      <c r="AH555" s="25">
        <v>30</v>
      </c>
      <c r="AI555" s="12">
        <v>3.8</v>
      </c>
      <c r="AJ555" s="25">
        <v>10623</v>
      </c>
      <c r="AK555" s="25">
        <v>4552</v>
      </c>
      <c r="AL555" s="33">
        <v>0.74980000000000002</v>
      </c>
      <c r="AM555" s="3" t="s">
        <v>2977</v>
      </c>
      <c r="AN555" s="12" t="s">
        <v>2007</v>
      </c>
      <c r="AO555" s="12" t="s">
        <v>2007</v>
      </c>
      <c r="AP555" s="12" t="str">
        <f>"131869290310190"</f>
        <v>131869290310190</v>
      </c>
      <c r="AQ555" s="12" t="s">
        <v>4673</v>
      </c>
      <c r="AR555" s="12" t="s">
        <v>2008</v>
      </c>
      <c r="AS555" s="12" t="s">
        <v>2009</v>
      </c>
      <c r="AT555" s="12"/>
      <c r="AU555" s="12" t="s">
        <v>324</v>
      </c>
      <c r="AV555" s="12" t="s">
        <v>5731</v>
      </c>
      <c r="AW555" s="12"/>
      <c r="AX555" s="12">
        <v>97</v>
      </c>
      <c r="AY555" s="12">
        <v>122</v>
      </c>
      <c r="AZ555" s="12">
        <v>97</v>
      </c>
      <c r="BA555" s="12" t="s">
        <v>2010</v>
      </c>
      <c r="BB555" s="12" t="s">
        <v>7218</v>
      </c>
      <c r="BC555" s="12" t="s">
        <v>7219</v>
      </c>
      <c r="BD555" s="12"/>
      <c r="BE555" s="12" t="s">
        <v>2291</v>
      </c>
      <c r="BF555" s="12"/>
      <c r="BG555" s="12"/>
      <c r="BH555" s="12"/>
      <c r="BI555" s="12"/>
      <c r="BJ555" s="12"/>
      <c r="BK555" s="12" t="s">
        <v>6575</v>
      </c>
      <c r="BL555" s="12" t="s">
        <v>2292</v>
      </c>
      <c r="BM555" s="12" t="s">
        <v>2292</v>
      </c>
      <c r="BN555" s="12" t="s">
        <v>2292</v>
      </c>
      <c r="BO555" s="12" t="s">
        <v>2292</v>
      </c>
      <c r="BP555" s="12"/>
      <c r="BQ555" s="12"/>
      <c r="BR555" s="12"/>
      <c r="BS555" s="12"/>
      <c r="BT555" s="12" t="s">
        <v>2011</v>
      </c>
      <c r="BU555" s="12" t="s">
        <v>326</v>
      </c>
      <c r="BV555" s="12"/>
      <c r="BW555" s="12" t="s">
        <v>4631</v>
      </c>
      <c r="BX555" s="12"/>
      <c r="BY555" s="13" t="s">
        <v>313</v>
      </c>
      <c r="BZ555" s="13" t="s">
        <v>6170</v>
      </c>
      <c r="CA555" s="13" t="s">
        <v>6170</v>
      </c>
      <c r="CB555" s="13" t="s">
        <v>6197</v>
      </c>
      <c r="CC555" s="13"/>
      <c r="CD555" s="13" t="s">
        <v>6198</v>
      </c>
      <c r="CE555" s="13"/>
      <c r="CF555" s="13"/>
    </row>
    <row r="556" spans="1:84" ht="18.600000000000001" customHeight="1" x14ac:dyDescent="0.25">
      <c r="A556" s="60" t="s">
        <v>203</v>
      </c>
      <c r="B556" s="2" t="s">
        <v>3171</v>
      </c>
      <c r="C556" s="3" t="s">
        <v>3173</v>
      </c>
      <c r="D556" s="12" t="s">
        <v>3176</v>
      </c>
      <c r="E556" s="12" t="s">
        <v>3172</v>
      </c>
      <c r="F556" s="12" t="s">
        <v>3944</v>
      </c>
      <c r="G556" s="25">
        <v>1473616</v>
      </c>
      <c r="H556" s="25">
        <v>929881</v>
      </c>
      <c r="I556" s="25">
        <v>176584</v>
      </c>
      <c r="J556" s="25">
        <v>241838</v>
      </c>
      <c r="K556" s="25">
        <v>9298233</v>
      </c>
      <c r="L556" s="25">
        <v>3989197</v>
      </c>
      <c r="M556" s="25">
        <v>13287430</v>
      </c>
      <c r="N556" s="31">
        <v>0.7</v>
      </c>
      <c r="O556" s="25">
        <v>67069</v>
      </c>
      <c r="P556" s="25">
        <v>914489</v>
      </c>
      <c r="Q556" s="25">
        <v>95856</v>
      </c>
      <c r="R556" s="25">
        <v>5650</v>
      </c>
      <c r="S556" s="25">
        <v>6065</v>
      </c>
      <c r="T556" s="25">
        <v>13879</v>
      </c>
      <c r="U556" s="61">
        <v>3720</v>
      </c>
      <c r="V556" s="58">
        <v>3.3999999999999998E-3</v>
      </c>
      <c r="W556" s="33">
        <v>2.8999999999999998E-3</v>
      </c>
      <c r="X556" s="33">
        <v>1.6999999999999999E-3</v>
      </c>
      <c r="Y556" s="33">
        <v>1.5E-3</v>
      </c>
      <c r="Z556" s="33">
        <v>4.3E-3</v>
      </c>
      <c r="AA556" s="12" t="s">
        <v>3926</v>
      </c>
      <c r="AB556" s="25">
        <v>1985</v>
      </c>
      <c r="AC556" s="25">
        <v>1265</v>
      </c>
      <c r="AD556" s="25">
        <v>17</v>
      </c>
      <c r="AE556" s="25">
        <v>8</v>
      </c>
      <c r="AF556" s="25">
        <v>688</v>
      </c>
      <c r="AG556" s="25">
        <v>7</v>
      </c>
      <c r="AH556" s="25">
        <v>0</v>
      </c>
      <c r="AI556" s="12">
        <v>4.5199999999999996</v>
      </c>
      <c r="AJ556" s="25">
        <v>237494</v>
      </c>
      <c r="AK556" s="25">
        <v>36999</v>
      </c>
      <c r="AL556" s="33">
        <v>0.1845</v>
      </c>
      <c r="AM556" s="3" t="s">
        <v>3173</v>
      </c>
      <c r="AN556" s="12" t="s">
        <v>3172</v>
      </c>
      <c r="AO556" s="12" t="s">
        <v>3172</v>
      </c>
      <c r="AP556" s="12" t="str">
        <f>"285300171481841"</f>
        <v>285300171481841</v>
      </c>
      <c r="AQ556" s="12" t="s">
        <v>3176</v>
      </c>
      <c r="AR556" s="12" t="s">
        <v>3255</v>
      </c>
      <c r="AS556" s="12" t="s">
        <v>3256</v>
      </c>
      <c r="AT556" s="12" t="s">
        <v>3257</v>
      </c>
      <c r="AU556" s="12" t="s">
        <v>309</v>
      </c>
      <c r="AV556" s="12"/>
      <c r="AW556" s="12"/>
      <c r="AX556" s="12">
        <v>0</v>
      </c>
      <c r="AY556" s="12">
        <v>16075</v>
      </c>
      <c r="AZ556" s="12">
        <v>0</v>
      </c>
      <c r="BA556" s="12" t="s">
        <v>3258</v>
      </c>
      <c r="BB556" s="12" t="s">
        <v>5738</v>
      </c>
      <c r="BC556" s="12" t="s">
        <v>6302</v>
      </c>
      <c r="BD556" s="12" t="s">
        <v>3259</v>
      </c>
      <c r="BE556" s="12" t="s">
        <v>2291</v>
      </c>
      <c r="BF556" s="12"/>
      <c r="BG556" s="12"/>
      <c r="BH556" s="12"/>
      <c r="BI556" s="12"/>
      <c r="BJ556" s="12"/>
      <c r="BK556" s="12"/>
      <c r="BL556" s="12" t="s">
        <v>2292</v>
      </c>
      <c r="BM556" s="12" t="s">
        <v>2292</v>
      </c>
      <c r="BN556" s="12" t="s">
        <v>2292</v>
      </c>
      <c r="BO556" s="12" t="s">
        <v>2291</v>
      </c>
      <c r="BP556" s="12"/>
      <c r="BQ556" s="12"/>
      <c r="BR556" s="12"/>
      <c r="BS556" s="12"/>
      <c r="BT556" s="12"/>
      <c r="BU556" s="12"/>
      <c r="BV556" s="12"/>
      <c r="BW556" s="12" t="s">
        <v>3312</v>
      </c>
      <c r="BX556" s="12"/>
      <c r="BY556" s="13" t="s">
        <v>313</v>
      </c>
      <c r="BZ556" s="13" t="s">
        <v>312</v>
      </c>
      <c r="CA556" s="13"/>
      <c r="CB556" s="13"/>
      <c r="CC556" s="13"/>
      <c r="CD556" s="13"/>
      <c r="CE556" s="13"/>
      <c r="CF556" s="13"/>
    </row>
    <row r="557" spans="1:84" ht="18.600000000000001" customHeight="1" x14ac:dyDescent="0.25">
      <c r="A557" s="60" t="s">
        <v>203</v>
      </c>
      <c r="B557" s="2" t="s">
        <v>315</v>
      </c>
      <c r="C557" s="3" t="s">
        <v>2606</v>
      </c>
      <c r="D557" s="12" t="s">
        <v>2012</v>
      </c>
      <c r="E557" s="12" t="s">
        <v>2013</v>
      </c>
      <c r="F557" s="12" t="s">
        <v>4116</v>
      </c>
      <c r="G557" s="25">
        <v>31252</v>
      </c>
      <c r="H557" s="25">
        <v>24050</v>
      </c>
      <c r="I557" s="25">
        <v>1724</v>
      </c>
      <c r="J557" s="25">
        <v>4295</v>
      </c>
      <c r="K557" s="25">
        <v>68552</v>
      </c>
      <c r="L557" s="25">
        <v>41008</v>
      </c>
      <c r="M557" s="25">
        <v>109560</v>
      </c>
      <c r="N557" s="31">
        <v>0.63</v>
      </c>
      <c r="O557" s="25">
        <v>640</v>
      </c>
      <c r="P557" s="25">
        <v>0</v>
      </c>
      <c r="Q557" s="25">
        <v>906</v>
      </c>
      <c r="R557" s="25">
        <v>92</v>
      </c>
      <c r="S557" s="25">
        <v>22</v>
      </c>
      <c r="T557" s="25">
        <v>141</v>
      </c>
      <c r="U557" s="61">
        <v>22</v>
      </c>
      <c r="V557" s="58">
        <v>1.1999999999999999E-3</v>
      </c>
      <c r="W557" s="33">
        <v>1.1000000000000001E-3</v>
      </c>
      <c r="X557" s="33">
        <v>1.8E-3</v>
      </c>
      <c r="Y557" s="33">
        <v>2.0000000000000001E-4</v>
      </c>
      <c r="Z557" s="33">
        <v>1.5E-3</v>
      </c>
      <c r="AA557" s="33">
        <v>8.0000000000000004E-4</v>
      </c>
      <c r="AB557" s="25">
        <v>736</v>
      </c>
      <c r="AC557" s="25">
        <v>558</v>
      </c>
      <c r="AD557" s="25">
        <v>49</v>
      </c>
      <c r="AE557" s="25">
        <v>1</v>
      </c>
      <c r="AF557" s="25">
        <v>125</v>
      </c>
      <c r="AG557" s="25">
        <v>1</v>
      </c>
      <c r="AH557" s="25">
        <v>2</v>
      </c>
      <c r="AI557" s="12">
        <v>1.68</v>
      </c>
      <c r="AJ557" s="25">
        <v>36260</v>
      </c>
      <c r="AK557" s="25">
        <v>4024</v>
      </c>
      <c r="AL557" s="33">
        <v>0.12479999999999999</v>
      </c>
      <c r="AM557" s="3" t="s">
        <v>2606</v>
      </c>
      <c r="AN557" s="12" t="s">
        <v>2013</v>
      </c>
      <c r="AO557" s="12" t="s">
        <v>2013</v>
      </c>
      <c r="AP557" s="12" t="str">
        <f>"126166890746726"</f>
        <v>126166890746726</v>
      </c>
      <c r="AQ557" s="12" t="s">
        <v>2012</v>
      </c>
      <c r="AR557" s="12" t="s">
        <v>2014</v>
      </c>
      <c r="AS557" s="12" t="s">
        <v>3223</v>
      </c>
      <c r="AT557" s="12"/>
      <c r="AU557" s="12" t="s">
        <v>324</v>
      </c>
      <c r="AV557" s="12"/>
      <c r="AW557" s="12"/>
      <c r="AX557" s="12">
        <v>0</v>
      </c>
      <c r="AY557" s="12">
        <v>235</v>
      </c>
      <c r="AZ557" s="12">
        <v>0</v>
      </c>
      <c r="BA557" s="12" t="s">
        <v>2015</v>
      </c>
      <c r="BB557" s="12" t="s">
        <v>5859</v>
      </c>
      <c r="BC557" s="12" t="s">
        <v>6688</v>
      </c>
      <c r="BD557" s="12"/>
      <c r="BE557" s="12" t="s">
        <v>2291</v>
      </c>
      <c r="BF557" s="12"/>
      <c r="BG557" s="12"/>
      <c r="BH557" s="12"/>
      <c r="BI557" s="12" t="s">
        <v>3315</v>
      </c>
      <c r="BJ557" s="12"/>
      <c r="BK557" s="12"/>
      <c r="BL557" s="12" t="s">
        <v>2292</v>
      </c>
      <c r="BM557" s="12" t="s">
        <v>2292</v>
      </c>
      <c r="BN557" s="12" t="s">
        <v>2292</v>
      </c>
      <c r="BO557" s="12" t="s">
        <v>2292</v>
      </c>
      <c r="BP557" s="12"/>
      <c r="BQ557" s="12"/>
      <c r="BR557" s="12"/>
      <c r="BS557" s="12"/>
      <c r="BT557" s="12" t="s">
        <v>3224</v>
      </c>
      <c r="BU557" s="12"/>
      <c r="BV557" s="12"/>
      <c r="BW557" s="12" t="s">
        <v>3225</v>
      </c>
      <c r="BX557" s="12"/>
      <c r="BY557" s="13" t="s">
        <v>313</v>
      </c>
      <c r="BZ557" s="13" t="s">
        <v>6172</v>
      </c>
      <c r="CA557" s="13" t="s">
        <v>6170</v>
      </c>
      <c r="CB557" s="13" t="s">
        <v>6201</v>
      </c>
      <c r="CC557" s="13"/>
      <c r="CD557" s="13" t="s">
        <v>6198</v>
      </c>
      <c r="CE557" s="13"/>
      <c r="CF557" s="13"/>
    </row>
    <row r="558" spans="1:84" ht="18.600000000000001" customHeight="1" x14ac:dyDescent="0.25">
      <c r="A558" s="60" t="s">
        <v>204</v>
      </c>
      <c r="B558" s="2" t="s">
        <v>2021</v>
      </c>
      <c r="C558" s="3" t="s">
        <v>2460</v>
      </c>
      <c r="D558" s="12" t="s">
        <v>2016</v>
      </c>
      <c r="E558" s="12" t="s">
        <v>2017</v>
      </c>
      <c r="F558" s="12" t="s">
        <v>4039</v>
      </c>
      <c r="G558" s="25">
        <v>9599315</v>
      </c>
      <c r="H558" s="25">
        <v>5126186</v>
      </c>
      <c r="I558" s="25">
        <v>1015034</v>
      </c>
      <c r="J558" s="25">
        <v>1220852</v>
      </c>
      <c r="K558" s="25">
        <v>63858350</v>
      </c>
      <c r="L558" s="25">
        <v>30415854</v>
      </c>
      <c r="M558" s="25">
        <v>94274204</v>
      </c>
      <c r="N558" s="31">
        <v>0.68</v>
      </c>
      <c r="O558" s="25">
        <v>244263</v>
      </c>
      <c r="P558" s="25">
        <v>1853849</v>
      </c>
      <c r="Q558" s="25">
        <v>801964</v>
      </c>
      <c r="R558" s="25">
        <v>46842</v>
      </c>
      <c r="S558" s="25">
        <v>724457</v>
      </c>
      <c r="T558" s="25">
        <v>72105</v>
      </c>
      <c r="U558" s="61">
        <v>579337</v>
      </c>
      <c r="V558" s="58">
        <v>1.6000000000000001E-3</v>
      </c>
      <c r="W558" s="33">
        <v>1.4E-3</v>
      </c>
      <c r="X558" s="33">
        <v>2.9999999999999997E-4</v>
      </c>
      <c r="Y558" s="33">
        <v>9.5999999999999992E-3</v>
      </c>
      <c r="Z558" s="33">
        <v>1.6000000000000001E-3</v>
      </c>
      <c r="AA558" s="33">
        <v>4.0000000000000002E-4</v>
      </c>
      <c r="AB558" s="25">
        <v>1142</v>
      </c>
      <c r="AC558" s="25">
        <v>651</v>
      </c>
      <c r="AD558" s="25">
        <v>2</v>
      </c>
      <c r="AE558" s="25">
        <v>9</v>
      </c>
      <c r="AF558" s="25">
        <v>469</v>
      </c>
      <c r="AG558" s="25">
        <v>4</v>
      </c>
      <c r="AH558" s="25">
        <v>7</v>
      </c>
      <c r="AI558" s="12">
        <v>2.6</v>
      </c>
      <c r="AJ558" s="25">
        <v>5670871</v>
      </c>
      <c r="AK558" s="25">
        <v>698615</v>
      </c>
      <c r="AL558" s="33">
        <v>0.14050000000000001</v>
      </c>
      <c r="AM558" s="3" t="s">
        <v>2460</v>
      </c>
      <c r="AN558" s="12" t="s">
        <v>2017</v>
      </c>
      <c r="AO558" s="12" t="s">
        <v>2017</v>
      </c>
      <c r="AP558" s="12" t="str">
        <f>"37107394336"</f>
        <v>37107394336</v>
      </c>
      <c r="AQ558" s="12" t="s">
        <v>2016</v>
      </c>
      <c r="AR558" s="12" t="s">
        <v>2018</v>
      </c>
      <c r="AS558" s="12" t="s">
        <v>3556</v>
      </c>
      <c r="AT558" s="12" t="s">
        <v>2461</v>
      </c>
      <c r="AU558" s="12" t="s">
        <v>319</v>
      </c>
      <c r="AV558" s="12"/>
      <c r="AW558" s="12"/>
      <c r="AX558" s="12">
        <v>0</v>
      </c>
      <c r="AY558" s="12">
        <v>56084</v>
      </c>
      <c r="AZ558" s="12">
        <v>0</v>
      </c>
      <c r="BA558" s="12" t="s">
        <v>2019</v>
      </c>
      <c r="BB558" s="12" t="s">
        <v>5816</v>
      </c>
      <c r="BC558" s="12" t="s">
        <v>6523</v>
      </c>
      <c r="BD558" s="12"/>
      <c r="BE558" s="12" t="s">
        <v>2291</v>
      </c>
      <c r="BF558" s="12"/>
      <c r="BG558" s="12"/>
      <c r="BH558" s="12"/>
      <c r="BI558" s="12"/>
      <c r="BJ558" s="12"/>
      <c r="BK558" s="12"/>
      <c r="BL558" s="12" t="s">
        <v>2292</v>
      </c>
      <c r="BM558" s="12" t="s">
        <v>2292</v>
      </c>
      <c r="BN558" s="12" t="s">
        <v>2292</v>
      </c>
      <c r="BO558" s="12" t="s">
        <v>2291</v>
      </c>
      <c r="BP558" s="12"/>
      <c r="BQ558" s="12"/>
      <c r="BR558" s="12"/>
      <c r="BS558" s="12"/>
      <c r="BT558" s="12"/>
      <c r="BU558" s="12"/>
      <c r="BV558" s="12"/>
      <c r="BW558" s="12" t="s">
        <v>2020</v>
      </c>
      <c r="BX558" s="12"/>
      <c r="BY558" s="13" t="s">
        <v>313</v>
      </c>
      <c r="BZ558" s="13" t="s">
        <v>312</v>
      </c>
      <c r="CA558" s="13"/>
      <c r="CB558" s="13"/>
      <c r="CC558" s="13"/>
      <c r="CD558" s="13"/>
      <c r="CE558" s="13"/>
      <c r="CF558" s="13"/>
    </row>
    <row r="559" spans="1:84" ht="18.600000000000001" customHeight="1" x14ac:dyDescent="0.25">
      <c r="A559" s="60" t="s">
        <v>204</v>
      </c>
      <c r="B559" s="2" t="s">
        <v>314</v>
      </c>
      <c r="C559" s="3" t="s">
        <v>2892</v>
      </c>
      <c r="D559" s="12" t="s">
        <v>2022</v>
      </c>
      <c r="E559" s="12" t="s">
        <v>205</v>
      </c>
      <c r="F559" s="12" t="s">
        <v>4297</v>
      </c>
      <c r="G559" s="25">
        <v>2461459</v>
      </c>
      <c r="H559" s="25">
        <v>1629792</v>
      </c>
      <c r="I559" s="25">
        <v>107865</v>
      </c>
      <c r="J559" s="25">
        <v>458657</v>
      </c>
      <c r="K559" s="25">
        <v>5443315</v>
      </c>
      <c r="L559" s="25">
        <v>4673401</v>
      </c>
      <c r="M559" s="25">
        <v>10116716</v>
      </c>
      <c r="N559" s="31">
        <v>0.54</v>
      </c>
      <c r="O559" s="25">
        <v>1875179</v>
      </c>
      <c r="P559" s="25">
        <v>50540</v>
      </c>
      <c r="Q559" s="25">
        <v>123101</v>
      </c>
      <c r="R559" s="25">
        <v>9849</v>
      </c>
      <c r="S559" s="25">
        <v>37061</v>
      </c>
      <c r="T559" s="25">
        <v>5585</v>
      </c>
      <c r="U559" s="61">
        <v>89138</v>
      </c>
      <c r="V559" s="58">
        <v>5.0000000000000001E-4</v>
      </c>
      <c r="W559" s="33">
        <v>4.0000000000000002E-4</v>
      </c>
      <c r="X559" s="33">
        <v>5.0000000000000001E-4</v>
      </c>
      <c r="Y559" s="33">
        <v>1E-4</v>
      </c>
      <c r="Z559" s="33">
        <v>8.0000000000000004E-4</v>
      </c>
      <c r="AA559" s="33">
        <v>4.0000000000000002E-4</v>
      </c>
      <c r="AB559" s="25">
        <v>5363</v>
      </c>
      <c r="AC559" s="25">
        <v>2988</v>
      </c>
      <c r="AD559" s="25">
        <v>1197</v>
      </c>
      <c r="AE559" s="25">
        <v>5</v>
      </c>
      <c r="AF559" s="25">
        <v>733</v>
      </c>
      <c r="AG559" s="25">
        <v>408</v>
      </c>
      <c r="AH559" s="25">
        <v>32</v>
      </c>
      <c r="AI559" s="12">
        <v>12.22</v>
      </c>
      <c r="AJ559" s="25">
        <v>1034832</v>
      </c>
      <c r="AK559" s="25">
        <v>72310</v>
      </c>
      <c r="AL559" s="33">
        <v>7.51E-2</v>
      </c>
      <c r="AM559" s="3" t="s">
        <v>2892</v>
      </c>
      <c r="AN559" s="12" t="s">
        <v>205</v>
      </c>
      <c r="AO559" s="12" t="s">
        <v>205</v>
      </c>
      <c r="AP559" s="12" t="str">
        <f>"370845909672873"</f>
        <v>370845909672873</v>
      </c>
      <c r="AQ559" s="12" t="s">
        <v>2022</v>
      </c>
      <c r="AR559" s="12" t="s">
        <v>2018</v>
      </c>
      <c r="AS559" s="12" t="s">
        <v>2893</v>
      </c>
      <c r="AT559" s="12"/>
      <c r="AU559" s="12" t="s">
        <v>324</v>
      </c>
      <c r="AV559" s="12"/>
      <c r="AW559" s="12"/>
      <c r="AX559" s="12">
        <v>0</v>
      </c>
      <c r="AY559" s="12">
        <v>6917</v>
      </c>
      <c r="AZ559" s="12">
        <v>0</v>
      </c>
      <c r="BA559" s="12" t="s">
        <v>2023</v>
      </c>
      <c r="BB559" s="12"/>
      <c r="BC559" s="12" t="s">
        <v>7094</v>
      </c>
      <c r="BD559" s="12"/>
      <c r="BE559" s="12" t="s">
        <v>2291</v>
      </c>
      <c r="BF559" s="12"/>
      <c r="BG559" s="12"/>
      <c r="BH559" s="12"/>
      <c r="BI559" s="12"/>
      <c r="BJ559" s="12"/>
      <c r="BK559" s="12"/>
      <c r="BL559" s="12" t="s">
        <v>2292</v>
      </c>
      <c r="BM559" s="12" t="s">
        <v>2292</v>
      </c>
      <c r="BN559" s="12" t="s">
        <v>2292</v>
      </c>
      <c r="BO559" s="12" t="s">
        <v>2291</v>
      </c>
      <c r="BP559" s="12"/>
      <c r="BQ559" s="12"/>
      <c r="BR559" s="12"/>
      <c r="BS559" s="12"/>
      <c r="BT559" s="12"/>
      <c r="BU559" s="12"/>
      <c r="BV559" s="12"/>
      <c r="BW559" s="12"/>
      <c r="BX559" s="12"/>
      <c r="BY559" s="13" t="s">
        <v>313</v>
      </c>
      <c r="BZ559" s="13" t="s">
        <v>312</v>
      </c>
      <c r="CA559" s="13"/>
      <c r="CB559" s="13"/>
      <c r="CC559" s="13"/>
      <c r="CD559" s="13"/>
      <c r="CE559" s="13"/>
      <c r="CF559" s="13"/>
    </row>
    <row r="560" spans="1:84" ht="18.600000000000001" customHeight="1" x14ac:dyDescent="0.25">
      <c r="A560" s="60" t="s">
        <v>204</v>
      </c>
      <c r="B560" s="2" t="s">
        <v>315</v>
      </c>
      <c r="C560" s="3" t="s">
        <v>2529</v>
      </c>
      <c r="D560" s="12" t="s">
        <v>206</v>
      </c>
      <c r="E560" s="12" t="s">
        <v>206</v>
      </c>
      <c r="F560" s="12" t="s">
        <v>4075</v>
      </c>
      <c r="G560" s="25">
        <v>226462</v>
      </c>
      <c r="H560" s="25">
        <v>91467</v>
      </c>
      <c r="I560" s="25">
        <v>10016</v>
      </c>
      <c r="J560" s="25">
        <v>104604</v>
      </c>
      <c r="K560" s="25">
        <v>651683</v>
      </c>
      <c r="L560" s="25">
        <v>738122</v>
      </c>
      <c r="M560" s="25">
        <v>1389805</v>
      </c>
      <c r="N560" s="31">
        <v>0.47</v>
      </c>
      <c r="O560" s="25">
        <v>624249</v>
      </c>
      <c r="P560" s="25">
        <v>0</v>
      </c>
      <c r="Q560" s="25">
        <v>9951</v>
      </c>
      <c r="R560" s="25">
        <v>1834</v>
      </c>
      <c r="S560" s="25">
        <v>2268</v>
      </c>
      <c r="T560" s="25">
        <v>1354</v>
      </c>
      <c r="U560" s="61">
        <v>4930</v>
      </c>
      <c r="V560" s="58">
        <v>2.9999999999999997E-4</v>
      </c>
      <c r="W560" s="33">
        <v>2.9999999999999997E-4</v>
      </c>
      <c r="X560" s="33">
        <v>2.0000000000000001E-4</v>
      </c>
      <c r="Y560" s="33">
        <v>1E-4</v>
      </c>
      <c r="Z560" s="33">
        <v>5.0000000000000001E-4</v>
      </c>
      <c r="AA560" s="33">
        <v>2.0000000000000001E-4</v>
      </c>
      <c r="AB560" s="25">
        <v>2546</v>
      </c>
      <c r="AC560" s="25">
        <v>1500</v>
      </c>
      <c r="AD560" s="25">
        <v>284</v>
      </c>
      <c r="AE560" s="25">
        <v>7</v>
      </c>
      <c r="AF560" s="25">
        <v>347</v>
      </c>
      <c r="AG560" s="25">
        <v>346</v>
      </c>
      <c r="AH560" s="25">
        <v>62</v>
      </c>
      <c r="AI560" s="12">
        <v>5.8</v>
      </c>
      <c r="AJ560" s="25">
        <v>303498</v>
      </c>
      <c r="AK560" s="25">
        <v>63578</v>
      </c>
      <c r="AL560" s="33">
        <v>0.26500000000000001</v>
      </c>
      <c r="AM560" s="3" t="s">
        <v>2529</v>
      </c>
      <c r="AN560" s="12" t="s">
        <v>206</v>
      </c>
      <c r="AO560" s="12" t="s">
        <v>206</v>
      </c>
      <c r="AP560" s="12" t="str">
        <f>"695267943936892"</f>
        <v>695267943936892</v>
      </c>
      <c r="AQ560" s="12" t="s">
        <v>206</v>
      </c>
      <c r="AR560" s="12" t="s">
        <v>2024</v>
      </c>
      <c r="AS560" s="12" t="s">
        <v>2025</v>
      </c>
      <c r="AT560" s="12"/>
      <c r="AU560" s="12" t="s">
        <v>324</v>
      </c>
      <c r="AV560" s="12"/>
      <c r="AW560" s="12"/>
      <c r="AX560" s="12">
        <v>0</v>
      </c>
      <c r="AY560" s="12">
        <v>8798</v>
      </c>
      <c r="AZ560" s="12">
        <v>0</v>
      </c>
      <c r="BA560" s="12" t="s">
        <v>260</v>
      </c>
      <c r="BB560" s="12"/>
      <c r="BC560" s="12" t="s">
        <v>6595</v>
      </c>
      <c r="BD560" s="12"/>
      <c r="BE560" s="12" t="s">
        <v>2291</v>
      </c>
      <c r="BF560" s="12"/>
      <c r="BG560" s="12"/>
      <c r="BH560" s="12"/>
      <c r="BI560" s="12" t="s">
        <v>4833</v>
      </c>
      <c r="BJ560" s="12"/>
      <c r="BK560" s="12"/>
      <c r="BL560" s="12" t="s">
        <v>2292</v>
      </c>
      <c r="BM560" s="12" t="s">
        <v>2292</v>
      </c>
      <c r="BN560" s="12" t="s">
        <v>2292</v>
      </c>
      <c r="BO560" s="12" t="s">
        <v>2291</v>
      </c>
      <c r="BP560" s="12"/>
      <c r="BQ560" s="12"/>
      <c r="BR560" s="12"/>
      <c r="BS560" s="12"/>
      <c r="BT560" s="12"/>
      <c r="BU560" s="12"/>
      <c r="BV560" s="12"/>
      <c r="BW560" s="12"/>
      <c r="BX560" s="12"/>
      <c r="BY560" s="13" t="s">
        <v>313</v>
      </c>
      <c r="BZ560" s="13" t="s">
        <v>6170</v>
      </c>
      <c r="CA560" s="13" t="s">
        <v>6170</v>
      </c>
      <c r="CB560" s="13" t="s">
        <v>6202</v>
      </c>
      <c r="CC560" s="13" t="s">
        <v>6187</v>
      </c>
      <c r="CD560" s="13" t="s">
        <v>6196</v>
      </c>
      <c r="CE560" s="13"/>
      <c r="CF560" s="13"/>
    </row>
    <row r="561" spans="1:2328" ht="18.600000000000001" customHeight="1" x14ac:dyDescent="0.25">
      <c r="A561" s="60" t="s">
        <v>204</v>
      </c>
      <c r="B561" s="2" t="s">
        <v>335</v>
      </c>
      <c r="C561" s="3" t="s">
        <v>2995</v>
      </c>
      <c r="D561" s="12" t="s">
        <v>2027</v>
      </c>
      <c r="E561" s="12" t="s">
        <v>2026</v>
      </c>
      <c r="F561" s="12" t="s">
        <v>4365</v>
      </c>
      <c r="G561" s="25">
        <v>315335</v>
      </c>
      <c r="H561" s="25">
        <v>135721</v>
      </c>
      <c r="I561" s="25">
        <v>18751</v>
      </c>
      <c r="J561" s="25">
        <v>132688</v>
      </c>
      <c r="K561" s="25">
        <v>838433</v>
      </c>
      <c r="L561" s="25">
        <v>813173</v>
      </c>
      <c r="M561" s="25">
        <v>1651606</v>
      </c>
      <c r="N561" s="31">
        <v>0.51</v>
      </c>
      <c r="O561" s="25">
        <v>96705</v>
      </c>
      <c r="P561" s="25">
        <v>0</v>
      </c>
      <c r="Q561" s="25">
        <v>20908</v>
      </c>
      <c r="R561" s="25">
        <v>3354</v>
      </c>
      <c r="S561" s="25">
        <v>1804</v>
      </c>
      <c r="T561" s="25">
        <v>716</v>
      </c>
      <c r="U561" s="61">
        <v>1375</v>
      </c>
      <c r="V561" s="58">
        <v>6.9999999999999999E-4</v>
      </c>
      <c r="W561" s="33">
        <v>8.9999999999999998E-4</v>
      </c>
      <c r="X561" s="33">
        <v>5.0000000000000001E-4</v>
      </c>
      <c r="Y561" s="33">
        <v>1E-4</v>
      </c>
      <c r="Z561" s="33">
        <v>4.0000000000000002E-4</v>
      </c>
      <c r="AA561" s="33">
        <v>2.9999999999999997E-4</v>
      </c>
      <c r="AB561" s="25">
        <v>733</v>
      </c>
      <c r="AC561" s="25">
        <v>382</v>
      </c>
      <c r="AD561" s="25">
        <v>47</v>
      </c>
      <c r="AE561" s="25">
        <v>1</v>
      </c>
      <c r="AF561" s="25">
        <v>280</v>
      </c>
      <c r="AG561" s="25">
        <v>7</v>
      </c>
      <c r="AH561" s="25">
        <v>16</v>
      </c>
      <c r="AI561" s="12">
        <v>1.67</v>
      </c>
      <c r="AJ561" s="25">
        <v>690572</v>
      </c>
      <c r="AK561" s="25">
        <v>130258</v>
      </c>
      <c r="AL561" s="33">
        <v>0.23250000000000001</v>
      </c>
      <c r="AM561" s="3" t="s">
        <v>2995</v>
      </c>
      <c r="AN561" s="12" t="s">
        <v>2026</v>
      </c>
      <c r="AO561" s="12" t="s">
        <v>2026</v>
      </c>
      <c r="AP561" s="12" t="str">
        <f>"122629161084065"</f>
        <v>122629161084065</v>
      </c>
      <c r="AQ561" s="12" t="s">
        <v>2027</v>
      </c>
      <c r="AR561" s="12" t="s">
        <v>2028</v>
      </c>
      <c r="AS561" s="12" t="s">
        <v>2996</v>
      </c>
      <c r="AT561" s="12"/>
      <c r="AU561" s="12" t="s">
        <v>324</v>
      </c>
      <c r="AV561" s="12"/>
      <c r="AW561" s="12"/>
      <c r="AX561" s="12">
        <v>0</v>
      </c>
      <c r="AY561" s="12">
        <v>2487</v>
      </c>
      <c r="AZ561" s="12">
        <v>0</v>
      </c>
      <c r="BA561" s="12" t="s">
        <v>2029</v>
      </c>
      <c r="BB561" s="12" t="s">
        <v>6021</v>
      </c>
      <c r="BC561" s="12" t="s">
        <v>7256</v>
      </c>
      <c r="BD561" s="12"/>
      <c r="BE561" s="12" t="s">
        <v>2291</v>
      </c>
      <c r="BF561" s="12"/>
      <c r="BG561" s="12"/>
      <c r="BH561" s="12"/>
      <c r="BI561" s="12"/>
      <c r="BJ561" s="12" t="s">
        <v>2030</v>
      </c>
      <c r="BK561" s="12"/>
      <c r="BL561" s="12" t="s">
        <v>2292</v>
      </c>
      <c r="BM561" s="12" t="s">
        <v>2292</v>
      </c>
      <c r="BN561" s="12" t="s">
        <v>2292</v>
      </c>
      <c r="BO561" s="12" t="s">
        <v>2291</v>
      </c>
      <c r="BP561" s="12"/>
      <c r="BQ561" s="12"/>
      <c r="BR561" s="12"/>
      <c r="BS561" s="12"/>
      <c r="BT561" s="12" t="s">
        <v>5468</v>
      </c>
      <c r="BU561" s="12"/>
      <c r="BV561" s="12"/>
      <c r="BW561" s="12">
        <v>6010</v>
      </c>
      <c r="BX561" s="12"/>
      <c r="BY561" s="13" t="s">
        <v>313</v>
      </c>
      <c r="BZ561" s="13" t="s">
        <v>6174</v>
      </c>
      <c r="CA561" s="13"/>
      <c r="CB561" s="13"/>
      <c r="CC561" s="13"/>
      <c r="CD561" s="13"/>
      <c r="CE561" s="13"/>
      <c r="CF561" s="13"/>
    </row>
    <row r="562" spans="1:2328" ht="18.600000000000001" customHeight="1" x14ac:dyDescent="0.25">
      <c r="A562" s="60" t="s">
        <v>207</v>
      </c>
      <c r="B562" s="2" t="s">
        <v>2037</v>
      </c>
      <c r="C562" s="3" t="s">
        <v>3069</v>
      </c>
      <c r="D562" s="12" t="s">
        <v>2031</v>
      </c>
      <c r="E562" s="12" t="s">
        <v>2032</v>
      </c>
      <c r="F562" s="12" t="s">
        <v>4416</v>
      </c>
      <c r="G562" s="25">
        <v>148144</v>
      </c>
      <c r="H562" s="25">
        <v>88471</v>
      </c>
      <c r="I562" s="25">
        <v>18759</v>
      </c>
      <c r="J562" s="25">
        <v>29389</v>
      </c>
      <c r="K562" s="25">
        <v>2024388</v>
      </c>
      <c r="L562" s="25">
        <v>425123</v>
      </c>
      <c r="M562" s="25">
        <v>2449511</v>
      </c>
      <c r="N562" s="31">
        <v>0.83</v>
      </c>
      <c r="O562" s="25">
        <v>38188</v>
      </c>
      <c r="P562" s="25">
        <v>0</v>
      </c>
      <c r="Q562" s="25">
        <v>6126</v>
      </c>
      <c r="R562" s="25">
        <v>533</v>
      </c>
      <c r="S562" s="25">
        <v>2241</v>
      </c>
      <c r="T562" s="25">
        <v>318</v>
      </c>
      <c r="U562" s="61">
        <v>2306</v>
      </c>
      <c r="V562" s="58">
        <v>1.5E-3</v>
      </c>
      <c r="W562" s="33">
        <v>1.2999999999999999E-3</v>
      </c>
      <c r="X562" s="12" t="s">
        <v>3926</v>
      </c>
      <c r="Y562" s="12" t="s">
        <v>3926</v>
      </c>
      <c r="Z562" s="33">
        <v>1.8E-3</v>
      </c>
      <c r="AA562" s="33">
        <v>1.1000000000000001E-3</v>
      </c>
      <c r="AB562" s="25">
        <v>341</v>
      </c>
      <c r="AC562" s="25">
        <v>174</v>
      </c>
      <c r="AD562" s="25">
        <v>0</v>
      </c>
      <c r="AE562" s="25">
        <v>0</v>
      </c>
      <c r="AF562" s="25">
        <v>162</v>
      </c>
      <c r="AG562" s="25">
        <v>4</v>
      </c>
      <c r="AH562" s="25">
        <v>1</v>
      </c>
      <c r="AI562" s="12">
        <v>0.78</v>
      </c>
      <c r="AJ562" s="25">
        <v>282718</v>
      </c>
      <c r="AK562" s="25">
        <v>962</v>
      </c>
      <c r="AL562" s="33">
        <v>3.3999999999999998E-3</v>
      </c>
      <c r="AM562" s="3" t="s">
        <v>3069</v>
      </c>
      <c r="AN562" s="12" t="s">
        <v>2032</v>
      </c>
      <c r="AO562" s="12" t="s">
        <v>2032</v>
      </c>
      <c r="AP562" s="12" t="str">
        <f>"124174484304839"</f>
        <v>124174484304839</v>
      </c>
      <c r="AQ562" s="12" t="s">
        <v>2031</v>
      </c>
      <c r="AR562" s="12" t="s">
        <v>4656</v>
      </c>
      <c r="AS562" s="12" t="s">
        <v>3070</v>
      </c>
      <c r="AT562" s="12" t="s">
        <v>3071</v>
      </c>
      <c r="AU562" s="12" t="s">
        <v>309</v>
      </c>
      <c r="AV562" s="12"/>
      <c r="AW562" s="12"/>
      <c r="AX562" s="12">
        <v>0</v>
      </c>
      <c r="AY562" s="12">
        <v>2322</v>
      </c>
      <c r="AZ562" s="12">
        <v>0</v>
      </c>
      <c r="BA562" s="12" t="s">
        <v>2033</v>
      </c>
      <c r="BB562" s="12" t="s">
        <v>6055</v>
      </c>
      <c r="BC562" s="12" t="s">
        <v>7374</v>
      </c>
      <c r="BD562" s="12" t="s">
        <v>2034</v>
      </c>
      <c r="BE562" s="12" t="s">
        <v>2291</v>
      </c>
      <c r="BF562" s="12"/>
      <c r="BG562" s="12"/>
      <c r="BH562" s="12"/>
      <c r="BI562" s="12"/>
      <c r="BJ562" s="12"/>
      <c r="BK562" s="12"/>
      <c r="BL562" s="12" t="s">
        <v>2292</v>
      </c>
      <c r="BM562" s="12" t="s">
        <v>2292</v>
      </c>
      <c r="BN562" s="12" t="s">
        <v>2292</v>
      </c>
      <c r="BO562" s="12" t="s">
        <v>2291</v>
      </c>
      <c r="BP562" s="12"/>
      <c r="BQ562" s="12"/>
      <c r="BR562" s="12" t="s">
        <v>3072</v>
      </c>
      <c r="BS562" s="12" t="s">
        <v>2035</v>
      </c>
      <c r="BT562" s="12"/>
      <c r="BU562" s="12"/>
      <c r="BV562" s="12"/>
      <c r="BW562" s="12" t="s">
        <v>2036</v>
      </c>
      <c r="BX562" s="12"/>
      <c r="BY562" s="13" t="s">
        <v>313</v>
      </c>
      <c r="BZ562" s="13" t="s">
        <v>312</v>
      </c>
      <c r="CA562" s="13"/>
      <c r="CB562" s="13"/>
      <c r="CC562" s="13"/>
      <c r="CD562" s="13"/>
      <c r="CE562" s="13"/>
      <c r="CF562" s="13"/>
    </row>
    <row r="563" spans="1:2328" ht="18.600000000000001" customHeight="1" x14ac:dyDescent="0.25">
      <c r="A563" s="60" t="s">
        <v>207</v>
      </c>
      <c r="B563" s="2" t="s">
        <v>314</v>
      </c>
      <c r="C563" s="3" t="s">
        <v>2883</v>
      </c>
      <c r="D563" s="12" t="s">
        <v>2043</v>
      </c>
      <c r="E563" s="12"/>
      <c r="F563" s="12" t="s">
        <v>4474</v>
      </c>
      <c r="G563" s="25">
        <v>0</v>
      </c>
      <c r="H563" s="25">
        <v>0</v>
      </c>
      <c r="I563" s="25">
        <v>0</v>
      </c>
      <c r="J563" s="25">
        <v>0</v>
      </c>
      <c r="K563" s="25">
        <v>0</v>
      </c>
      <c r="L563" s="25">
        <v>0</v>
      </c>
      <c r="M563" s="25">
        <v>0</v>
      </c>
      <c r="N563" s="31">
        <v>0</v>
      </c>
      <c r="O563" s="25">
        <v>0</v>
      </c>
      <c r="P563" s="25">
        <v>0</v>
      </c>
      <c r="Q563" s="25">
        <v>0</v>
      </c>
      <c r="R563" s="25">
        <v>0</v>
      </c>
      <c r="S563" s="25">
        <v>0</v>
      </c>
      <c r="T563" s="25">
        <v>0</v>
      </c>
      <c r="U563" s="61">
        <v>0</v>
      </c>
      <c r="V563" s="59"/>
      <c r="W563" s="12" t="s">
        <v>3926</v>
      </c>
      <c r="X563" s="12" t="s">
        <v>3926</v>
      </c>
      <c r="Y563" s="12" t="s">
        <v>3926</v>
      </c>
      <c r="Z563" s="12" t="s">
        <v>3926</v>
      </c>
      <c r="AA563" s="12" t="s">
        <v>3926</v>
      </c>
      <c r="AB563" s="25" t="s">
        <v>3927</v>
      </c>
      <c r="AC563" s="25">
        <v>0</v>
      </c>
      <c r="AD563" s="25">
        <v>0</v>
      </c>
      <c r="AE563" s="25">
        <v>0</v>
      </c>
      <c r="AF563" s="25">
        <v>0</v>
      </c>
      <c r="AG563" s="25">
        <v>0</v>
      </c>
      <c r="AH563" s="25">
        <v>0</v>
      </c>
      <c r="AI563" s="12">
        <v>0</v>
      </c>
      <c r="AJ563" s="25">
        <v>4077</v>
      </c>
      <c r="AK563" s="25">
        <v>475</v>
      </c>
      <c r="AL563" s="33">
        <v>0.13189999999999999</v>
      </c>
      <c r="AM563" s="3" t="s">
        <v>2883</v>
      </c>
      <c r="AN563" s="12" t="s">
        <v>5425</v>
      </c>
      <c r="AO563" s="12"/>
      <c r="AP563" s="12" t="str">
        <f>"529224993865914"</f>
        <v>529224993865914</v>
      </c>
      <c r="AQ563" s="12" t="s">
        <v>2043</v>
      </c>
      <c r="AR563" s="12" t="s">
        <v>2044</v>
      </c>
      <c r="AS563" s="12" t="s">
        <v>2884</v>
      </c>
      <c r="AT563" s="12"/>
      <c r="AU563" s="12" t="s">
        <v>324</v>
      </c>
      <c r="AV563" s="12"/>
      <c r="AW563" s="12" t="s">
        <v>2885</v>
      </c>
      <c r="AX563" s="12">
        <v>0</v>
      </c>
      <c r="AY563" s="12">
        <v>11</v>
      </c>
      <c r="AZ563" s="12">
        <v>0</v>
      </c>
      <c r="BA563" s="12" t="s">
        <v>2045</v>
      </c>
      <c r="BB563" s="12" t="s">
        <v>7087</v>
      </c>
      <c r="BC563" s="12" t="s">
        <v>7088</v>
      </c>
      <c r="BD563" s="12"/>
      <c r="BE563" s="12" t="s">
        <v>2291</v>
      </c>
      <c r="BF563" s="12"/>
      <c r="BG563" s="12"/>
      <c r="BH563" s="12"/>
      <c r="BI563" s="12"/>
      <c r="BJ563" s="12" t="s">
        <v>2886</v>
      </c>
      <c r="BK563" s="12"/>
      <c r="BL563" s="12" t="s">
        <v>2292</v>
      </c>
      <c r="BM563" s="12" t="s">
        <v>2292</v>
      </c>
      <c r="BN563" s="12" t="s">
        <v>2292</v>
      </c>
      <c r="BO563" s="12" t="s">
        <v>2292</v>
      </c>
      <c r="BP563" s="12" t="s">
        <v>2887</v>
      </c>
      <c r="BQ563" s="12"/>
      <c r="BR563" s="12"/>
      <c r="BS563" s="12"/>
      <c r="BT563" s="12" t="s">
        <v>2046</v>
      </c>
      <c r="BU563" s="12"/>
      <c r="BV563" s="12"/>
      <c r="BW563" s="12" t="s">
        <v>2047</v>
      </c>
      <c r="BX563" s="12"/>
      <c r="BY563" s="18" t="s">
        <v>344</v>
      </c>
      <c r="BZ563" s="13" t="s">
        <v>312</v>
      </c>
      <c r="CA563" s="13"/>
      <c r="CB563" s="13"/>
      <c r="CC563" s="13"/>
      <c r="CD563" s="13"/>
      <c r="CE563" s="13"/>
      <c r="CF563" s="13"/>
    </row>
    <row r="564" spans="1:2328" ht="18.600000000000001" customHeight="1" x14ac:dyDescent="0.25">
      <c r="A564" s="60" t="s">
        <v>207</v>
      </c>
      <c r="B564" s="2" t="s">
        <v>314</v>
      </c>
      <c r="C564" s="3" t="s">
        <v>2888</v>
      </c>
      <c r="D564" s="12" t="s">
        <v>2039</v>
      </c>
      <c r="E564" s="12" t="s">
        <v>2038</v>
      </c>
      <c r="F564" s="12" t="s">
        <v>4295</v>
      </c>
      <c r="G564" s="25">
        <v>59842</v>
      </c>
      <c r="H564" s="25">
        <v>32611</v>
      </c>
      <c r="I564" s="25">
        <v>4654</v>
      </c>
      <c r="J564" s="25">
        <v>19221</v>
      </c>
      <c r="K564" s="25">
        <v>792461</v>
      </c>
      <c r="L564" s="25">
        <v>171024</v>
      </c>
      <c r="M564" s="25">
        <v>963485</v>
      </c>
      <c r="N564" s="31">
        <v>0.82</v>
      </c>
      <c r="O564" s="25">
        <v>10445</v>
      </c>
      <c r="P564" s="25">
        <v>26823</v>
      </c>
      <c r="Q564" s="25">
        <v>2297</v>
      </c>
      <c r="R564" s="25">
        <v>183</v>
      </c>
      <c r="S564" s="25">
        <v>422</v>
      </c>
      <c r="T564" s="25">
        <v>54</v>
      </c>
      <c r="U564" s="61">
        <v>400</v>
      </c>
      <c r="V564" s="58">
        <v>1.6999999999999999E-3</v>
      </c>
      <c r="W564" s="33">
        <v>1.1000000000000001E-3</v>
      </c>
      <c r="X564" s="33">
        <v>1.2999999999999999E-3</v>
      </c>
      <c r="Y564" s="33">
        <v>5.9999999999999995E-4</v>
      </c>
      <c r="Z564" s="33">
        <v>2.8E-3</v>
      </c>
      <c r="AA564" s="33">
        <v>5.9999999999999995E-4</v>
      </c>
      <c r="AB564" s="25">
        <v>1573</v>
      </c>
      <c r="AC564" s="25">
        <v>948</v>
      </c>
      <c r="AD564" s="25">
        <v>10</v>
      </c>
      <c r="AE564" s="25">
        <v>1</v>
      </c>
      <c r="AF564" s="25">
        <v>558</v>
      </c>
      <c r="AG564" s="25">
        <v>53</v>
      </c>
      <c r="AH564" s="25">
        <v>3</v>
      </c>
      <c r="AI564" s="12">
        <v>3.58</v>
      </c>
      <c r="AJ564" s="25">
        <v>24076</v>
      </c>
      <c r="AK564" s="25">
        <v>4536</v>
      </c>
      <c r="AL564" s="33">
        <v>0.2321</v>
      </c>
      <c r="AM564" s="3" t="s">
        <v>2888</v>
      </c>
      <c r="AN564" s="12" t="s">
        <v>2038</v>
      </c>
      <c r="AO564" s="12" t="s">
        <v>2038</v>
      </c>
      <c r="AP564" s="12" t="str">
        <f>"1488858818050617"</f>
        <v>1488858818050617</v>
      </c>
      <c r="AQ564" s="12" t="s">
        <v>2039</v>
      </c>
      <c r="AR564" s="12" t="s">
        <v>2040</v>
      </c>
      <c r="AS564" s="12" t="s">
        <v>2041</v>
      </c>
      <c r="AT564" s="12"/>
      <c r="AU564" s="12" t="s">
        <v>324</v>
      </c>
      <c r="AV564" s="12" t="s">
        <v>5752</v>
      </c>
      <c r="AW564" s="12"/>
      <c r="AX564" s="12">
        <v>7321</v>
      </c>
      <c r="AY564" s="12">
        <v>1005</v>
      </c>
      <c r="AZ564" s="12">
        <v>7321</v>
      </c>
      <c r="BA564" s="12" t="s">
        <v>2042</v>
      </c>
      <c r="BB564" s="12" t="s">
        <v>7089</v>
      </c>
      <c r="BC564" s="12" t="s">
        <v>7090</v>
      </c>
      <c r="BD564" s="12"/>
      <c r="BE564" s="12" t="s">
        <v>2291</v>
      </c>
      <c r="BF564" s="12"/>
      <c r="BG564" s="12"/>
      <c r="BH564" s="12"/>
      <c r="BI564" s="12" t="s">
        <v>5426</v>
      </c>
      <c r="BJ564" s="12"/>
      <c r="BK564" s="12" t="s">
        <v>7091</v>
      </c>
      <c r="BL564" s="12" t="s">
        <v>2292</v>
      </c>
      <c r="BM564" s="12" t="s">
        <v>2292</v>
      </c>
      <c r="BN564" s="12" t="s">
        <v>2292</v>
      </c>
      <c r="BO564" s="12" t="s">
        <v>2292</v>
      </c>
      <c r="BP564" s="12"/>
      <c r="BQ564" s="12"/>
      <c r="BR564" s="12"/>
      <c r="BS564" s="12"/>
      <c r="BT564" s="12" t="s">
        <v>3663</v>
      </c>
      <c r="BU564" s="12" t="s">
        <v>326</v>
      </c>
      <c r="BV564" s="12"/>
      <c r="BW564" s="12" t="s">
        <v>4758</v>
      </c>
      <c r="BX564" s="12"/>
      <c r="BY564" s="13" t="s">
        <v>313</v>
      </c>
      <c r="BZ564" s="13" t="s">
        <v>6172</v>
      </c>
      <c r="CA564" s="13"/>
      <c r="CB564" s="13"/>
      <c r="CC564" s="13"/>
      <c r="CD564" s="13"/>
      <c r="CE564" s="13"/>
      <c r="CF564" s="13" t="s">
        <v>6178</v>
      </c>
    </row>
    <row r="565" spans="1:2328" ht="18.600000000000001" customHeight="1" x14ac:dyDescent="0.25">
      <c r="A565" s="60" t="s">
        <v>207</v>
      </c>
      <c r="B565" s="2" t="s">
        <v>2051</v>
      </c>
      <c r="C565" s="3" t="s">
        <v>5547</v>
      </c>
      <c r="D565" s="12" t="s">
        <v>2048</v>
      </c>
      <c r="E565" s="12" t="s">
        <v>208</v>
      </c>
      <c r="F565" s="12" t="s">
        <v>4441</v>
      </c>
      <c r="G565" s="25">
        <v>3566</v>
      </c>
      <c r="H565" s="25">
        <v>2731</v>
      </c>
      <c r="I565" s="25">
        <v>249</v>
      </c>
      <c r="J565" s="25">
        <v>322</v>
      </c>
      <c r="K565" s="25">
        <v>7751</v>
      </c>
      <c r="L565" s="25">
        <v>2322</v>
      </c>
      <c r="M565" s="25">
        <v>10073</v>
      </c>
      <c r="N565" s="31">
        <v>0.77</v>
      </c>
      <c r="O565" s="25">
        <v>1146</v>
      </c>
      <c r="P565" s="25">
        <v>0</v>
      </c>
      <c r="Q565" s="25">
        <v>220</v>
      </c>
      <c r="R565" s="25">
        <v>9</v>
      </c>
      <c r="S565" s="25">
        <v>11</v>
      </c>
      <c r="T565" s="25">
        <v>5</v>
      </c>
      <c r="U565" s="61">
        <v>19</v>
      </c>
      <c r="V565" s="58">
        <v>2.3999999999999998E-3</v>
      </c>
      <c r="W565" s="33">
        <v>2.0999999999999999E-3</v>
      </c>
      <c r="X565" s="33">
        <v>2.5000000000000001E-3</v>
      </c>
      <c r="Y565" s="12" t="s">
        <v>3926</v>
      </c>
      <c r="Z565" s="33">
        <v>3.8999999999999998E-3</v>
      </c>
      <c r="AA565" s="33">
        <v>2.3999999999999998E-3</v>
      </c>
      <c r="AB565" s="25">
        <v>99</v>
      </c>
      <c r="AC565" s="25">
        <v>71</v>
      </c>
      <c r="AD565" s="25">
        <v>2</v>
      </c>
      <c r="AE565" s="25">
        <v>0</v>
      </c>
      <c r="AF565" s="25">
        <v>15</v>
      </c>
      <c r="AG565" s="25">
        <v>3</v>
      </c>
      <c r="AH565" s="25">
        <v>8</v>
      </c>
      <c r="AI565" s="12">
        <v>0.23</v>
      </c>
      <c r="AJ565" s="25">
        <v>14909</v>
      </c>
      <c r="AK565" s="25">
        <v>325</v>
      </c>
      <c r="AL565" s="33">
        <v>2.23E-2</v>
      </c>
      <c r="AM565" s="3" t="s">
        <v>5547</v>
      </c>
      <c r="AN565" s="12" t="s">
        <v>208</v>
      </c>
      <c r="AO565" s="12" t="s">
        <v>208</v>
      </c>
      <c r="AP565" s="12" t="str">
        <f>"130394330468904"</f>
        <v>130394330468904</v>
      </c>
      <c r="AQ565" s="12" t="s">
        <v>2048</v>
      </c>
      <c r="AR565" s="12" t="s">
        <v>2049</v>
      </c>
      <c r="AS565" s="12" t="s">
        <v>2050</v>
      </c>
      <c r="AT565" s="12" t="s">
        <v>2595</v>
      </c>
      <c r="AU565" s="12" t="s">
        <v>319</v>
      </c>
      <c r="AV565" s="12"/>
      <c r="AW565" s="12"/>
      <c r="AX565" s="12">
        <v>0</v>
      </c>
      <c r="AY565" s="12">
        <v>58</v>
      </c>
      <c r="AZ565" s="12">
        <v>0</v>
      </c>
      <c r="BA565" s="12" t="s">
        <v>5583</v>
      </c>
      <c r="BB565" s="12"/>
      <c r="BC565" s="12" t="s">
        <v>6673</v>
      </c>
      <c r="BD565" s="12"/>
      <c r="BE565" s="12" t="s">
        <v>2291</v>
      </c>
      <c r="BF565" s="12"/>
      <c r="BG565" s="12"/>
      <c r="BH565" s="12"/>
      <c r="BI565" s="12" t="s">
        <v>3768</v>
      </c>
      <c r="BJ565" s="12"/>
      <c r="BK565" s="12"/>
      <c r="BL565" s="12" t="s">
        <v>2292</v>
      </c>
      <c r="BM565" s="12" t="s">
        <v>2292</v>
      </c>
      <c r="BN565" s="12" t="s">
        <v>2292</v>
      </c>
      <c r="BO565" s="12" t="s">
        <v>2292</v>
      </c>
      <c r="BP565" s="12"/>
      <c r="BQ565" s="12"/>
      <c r="BR565" s="12" t="s">
        <v>2596</v>
      </c>
      <c r="BS565" s="12"/>
      <c r="BT565" s="12"/>
      <c r="BU565" s="12"/>
      <c r="BV565" s="12"/>
      <c r="BW565" s="12"/>
      <c r="BX565" s="12"/>
      <c r="BY565" s="13" t="s">
        <v>313</v>
      </c>
      <c r="BZ565" s="13" t="s">
        <v>312</v>
      </c>
      <c r="CA565" s="13"/>
      <c r="CB565" s="13"/>
      <c r="CC565" s="13"/>
      <c r="CD565" s="13"/>
      <c r="CE565" s="13"/>
      <c r="CF565" s="13"/>
    </row>
    <row r="566" spans="1:2328" ht="18.600000000000001" customHeight="1" x14ac:dyDescent="0.25">
      <c r="A566" s="60" t="s">
        <v>207</v>
      </c>
      <c r="B566" s="2" t="s">
        <v>335</v>
      </c>
      <c r="C566" s="3" t="s">
        <v>6091</v>
      </c>
      <c r="D566" s="12" t="s">
        <v>2052</v>
      </c>
      <c r="E566" s="12" t="s">
        <v>5645</v>
      </c>
      <c r="F566" s="12" t="s">
        <v>3986</v>
      </c>
      <c r="G566" s="25">
        <v>49054</v>
      </c>
      <c r="H566" s="25">
        <v>20581</v>
      </c>
      <c r="I566" s="25">
        <v>2099</v>
      </c>
      <c r="J566" s="25">
        <v>24786</v>
      </c>
      <c r="K566" s="25">
        <v>41449</v>
      </c>
      <c r="L566" s="25">
        <v>16698</v>
      </c>
      <c r="M566" s="25">
        <v>58147</v>
      </c>
      <c r="N566" s="31">
        <v>0.71</v>
      </c>
      <c r="O566" s="25">
        <v>2399</v>
      </c>
      <c r="P566" s="25">
        <v>10098</v>
      </c>
      <c r="Q566" s="25">
        <v>1317</v>
      </c>
      <c r="R566" s="25">
        <v>92</v>
      </c>
      <c r="S566" s="25">
        <v>76</v>
      </c>
      <c r="T566" s="25">
        <v>56</v>
      </c>
      <c r="U566" s="61">
        <v>46</v>
      </c>
      <c r="V566" s="58">
        <v>2.0999999999999999E-3</v>
      </c>
      <c r="W566" s="33">
        <v>2.5999999999999999E-3</v>
      </c>
      <c r="X566" s="33">
        <v>2.0999999999999999E-3</v>
      </c>
      <c r="Y566" s="33">
        <v>5.0000000000000001E-4</v>
      </c>
      <c r="Z566" s="33">
        <v>1.5E-3</v>
      </c>
      <c r="AA566" s="33">
        <v>1.1000000000000001E-3</v>
      </c>
      <c r="AB566" s="25">
        <v>1547</v>
      </c>
      <c r="AC566" s="25">
        <v>1346</v>
      </c>
      <c r="AD566" s="25">
        <v>22</v>
      </c>
      <c r="AE566" s="25">
        <v>8</v>
      </c>
      <c r="AF566" s="25">
        <v>140</v>
      </c>
      <c r="AG566" s="25">
        <v>7</v>
      </c>
      <c r="AH566" s="25">
        <v>24</v>
      </c>
      <c r="AI566" s="12">
        <v>3.52</v>
      </c>
      <c r="AJ566" s="25">
        <v>20178</v>
      </c>
      <c r="AK566" s="25">
        <v>14527</v>
      </c>
      <c r="AL566" s="33">
        <v>2.5707</v>
      </c>
      <c r="AM566" s="3" t="s">
        <v>6091</v>
      </c>
      <c r="AN566" s="12" t="s">
        <v>5645</v>
      </c>
      <c r="AO566" s="12" t="s">
        <v>5645</v>
      </c>
      <c r="AP566" s="12" t="str">
        <f>"266323883556244"</f>
        <v>266323883556244</v>
      </c>
      <c r="AQ566" s="12" t="s">
        <v>2052</v>
      </c>
      <c r="AR566" s="12" t="s">
        <v>6107</v>
      </c>
      <c r="AS566" s="12" t="s">
        <v>6108</v>
      </c>
      <c r="AT566" s="12"/>
      <c r="AU566" s="12" t="s">
        <v>324</v>
      </c>
      <c r="AV566" s="12" t="s">
        <v>5731</v>
      </c>
      <c r="AW566" s="12"/>
      <c r="AX566" s="12">
        <v>208</v>
      </c>
      <c r="AY566" s="12">
        <v>465</v>
      </c>
      <c r="AZ566" s="12">
        <v>208</v>
      </c>
      <c r="BA566" s="12" t="s">
        <v>6109</v>
      </c>
      <c r="BB566" s="12" t="s">
        <v>6399</v>
      </c>
      <c r="BC566" s="12" t="s">
        <v>6400</v>
      </c>
      <c r="BD566" s="12"/>
      <c r="BE566" s="12" t="s">
        <v>2291</v>
      </c>
      <c r="BF566" s="12"/>
      <c r="BG566" s="12"/>
      <c r="BH566" s="12"/>
      <c r="BI566" s="12"/>
      <c r="BJ566" s="12"/>
      <c r="BK566" s="12" t="s">
        <v>6393</v>
      </c>
      <c r="BL566" s="12" t="s">
        <v>2292</v>
      </c>
      <c r="BM566" s="12" t="s">
        <v>2292</v>
      </c>
      <c r="BN566" s="12" t="s">
        <v>2292</v>
      </c>
      <c r="BO566" s="12" t="s">
        <v>2292</v>
      </c>
      <c r="BP566" s="12" t="s">
        <v>6110</v>
      </c>
      <c r="BQ566" s="12"/>
      <c r="BR566" s="12"/>
      <c r="BS566" s="12"/>
      <c r="BT566" s="12">
        <v>5075114100</v>
      </c>
      <c r="BU566" s="12" t="s">
        <v>326</v>
      </c>
      <c r="BV566" s="12"/>
      <c r="BW566" s="12" t="s">
        <v>6111</v>
      </c>
      <c r="BX566" s="12"/>
      <c r="BY566" s="13" t="s">
        <v>313</v>
      </c>
      <c r="BZ566" s="13" t="s">
        <v>312</v>
      </c>
      <c r="CA566" s="13"/>
      <c r="CB566" s="13"/>
      <c r="CC566" s="13"/>
      <c r="CD566" s="13"/>
      <c r="CE566" s="13"/>
      <c r="CF566" s="13"/>
    </row>
    <row r="567" spans="1:2328" s="26" customFormat="1" ht="18.600000000000001" customHeight="1" x14ac:dyDescent="0.25">
      <c r="A567" s="60" t="s">
        <v>249</v>
      </c>
      <c r="B567" s="11" t="s">
        <v>4733</v>
      </c>
      <c r="C567" s="3" t="s">
        <v>4734</v>
      </c>
      <c r="D567" s="12" t="s">
        <v>4742</v>
      </c>
      <c r="E567" s="12" t="s">
        <v>4743</v>
      </c>
      <c r="F567" s="12" t="s">
        <v>4751</v>
      </c>
      <c r="G567" s="25">
        <v>6940106</v>
      </c>
      <c r="H567" s="25">
        <v>4655611</v>
      </c>
      <c r="I567" s="25">
        <v>795304</v>
      </c>
      <c r="J567" s="25">
        <v>837169</v>
      </c>
      <c r="K567" s="25">
        <v>14414167</v>
      </c>
      <c r="L567" s="25">
        <v>9430166</v>
      </c>
      <c r="M567" s="25">
        <v>23844333</v>
      </c>
      <c r="N567" s="31">
        <v>0.6</v>
      </c>
      <c r="O567" s="25">
        <v>2576970</v>
      </c>
      <c r="P567" s="25">
        <v>6183275</v>
      </c>
      <c r="Q567" s="25">
        <v>540718</v>
      </c>
      <c r="R567" s="25">
        <v>18510</v>
      </c>
      <c r="S567" s="25">
        <v>30964</v>
      </c>
      <c r="T567" s="25">
        <v>38839</v>
      </c>
      <c r="U567" s="61">
        <v>22685</v>
      </c>
      <c r="V567" s="58">
        <v>2.3999999999999998E-3</v>
      </c>
      <c r="W567" s="33">
        <v>1.9E-3</v>
      </c>
      <c r="X567" s="33">
        <v>1.8E-3</v>
      </c>
      <c r="Y567" s="33">
        <v>4.7999999999999996E-3</v>
      </c>
      <c r="Z567" s="33">
        <v>4.3E-3</v>
      </c>
      <c r="AA567" s="33">
        <v>2E-3</v>
      </c>
      <c r="AB567" s="25">
        <v>6949</v>
      </c>
      <c r="AC567" s="25">
        <v>3928</v>
      </c>
      <c r="AD567" s="25">
        <v>1351</v>
      </c>
      <c r="AE567" s="25">
        <v>534</v>
      </c>
      <c r="AF567" s="25">
        <v>826</v>
      </c>
      <c r="AG567" s="25">
        <v>294</v>
      </c>
      <c r="AH567" s="25">
        <v>16</v>
      </c>
      <c r="AI567" s="12">
        <v>15.83</v>
      </c>
      <c r="AJ567" s="25">
        <v>504944</v>
      </c>
      <c r="AK567" s="25">
        <v>165418</v>
      </c>
      <c r="AL567" s="33">
        <v>0.48720000000000002</v>
      </c>
      <c r="AM567" s="3" t="s">
        <v>4734</v>
      </c>
      <c r="AN567" s="12" t="s">
        <v>4743</v>
      </c>
      <c r="AO567" s="12" t="s">
        <v>4743</v>
      </c>
      <c r="AP567" s="12" t="str">
        <f>"107960225906378"</f>
        <v>107960225906378</v>
      </c>
      <c r="AQ567" s="12" t="s">
        <v>4742</v>
      </c>
      <c r="AR567" s="12" t="s">
        <v>4760</v>
      </c>
      <c r="AS567" s="12" t="s">
        <v>4948</v>
      </c>
      <c r="AT567" s="12"/>
      <c r="AU567" s="12" t="s">
        <v>367</v>
      </c>
      <c r="AV567" s="12"/>
      <c r="AW567" s="12"/>
      <c r="AX567" s="12">
        <v>0</v>
      </c>
      <c r="AY567" s="12">
        <v>108056</v>
      </c>
      <c r="AZ567" s="12">
        <v>0</v>
      </c>
      <c r="BA567" s="12" t="s">
        <v>4761</v>
      </c>
      <c r="BB567" s="12"/>
      <c r="BC567" s="12" t="s">
        <v>7200</v>
      </c>
      <c r="BD567" s="12"/>
      <c r="BE567" s="12" t="s">
        <v>2291</v>
      </c>
      <c r="BF567" s="12"/>
      <c r="BG567" s="12"/>
      <c r="BH567" s="12"/>
      <c r="BI567" s="12" t="s">
        <v>4762</v>
      </c>
      <c r="BJ567" s="12"/>
      <c r="BK567" s="12"/>
      <c r="BL567" s="12" t="s">
        <v>2292</v>
      </c>
      <c r="BM567" s="12" t="s">
        <v>2292</v>
      </c>
      <c r="BN567" s="12" t="s">
        <v>2292</v>
      </c>
      <c r="BO567" s="12" t="s">
        <v>2291</v>
      </c>
      <c r="BP567" s="12"/>
      <c r="BQ567" s="12"/>
      <c r="BR567" s="12"/>
      <c r="BS567" s="12"/>
      <c r="BT567" s="12"/>
      <c r="BU567" s="12"/>
      <c r="BV567" s="12"/>
      <c r="BW567" s="12"/>
      <c r="BX567" s="12"/>
      <c r="BY567" s="13" t="s">
        <v>313</v>
      </c>
      <c r="BZ567" s="13" t="s">
        <v>6171</v>
      </c>
      <c r="CA567" s="13" t="s">
        <v>6170</v>
      </c>
      <c r="CB567" s="13" t="s">
        <v>6197</v>
      </c>
      <c r="CC567" s="13"/>
      <c r="CD567" s="13" t="s">
        <v>6198</v>
      </c>
      <c r="CE567" s="13"/>
      <c r="CF567" s="13"/>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c r="IW567" s="8"/>
      <c r="IX567" s="8"/>
      <c r="IY567" s="8"/>
      <c r="IZ567" s="8"/>
      <c r="JA567" s="8"/>
      <c r="JB567" s="8"/>
      <c r="JC567" s="8"/>
      <c r="JD567" s="8"/>
      <c r="JE567" s="8"/>
      <c r="JF567" s="8"/>
      <c r="JG567" s="8"/>
      <c r="JH567" s="8"/>
      <c r="JI567" s="8"/>
      <c r="JJ567" s="8"/>
      <c r="JK567" s="8"/>
      <c r="JL567" s="8"/>
      <c r="JM567" s="8"/>
      <c r="JN567" s="8"/>
      <c r="JO567" s="8"/>
      <c r="JP567" s="8"/>
      <c r="JQ567" s="8"/>
      <c r="JR567" s="8"/>
      <c r="JS567" s="8"/>
      <c r="JT567" s="8"/>
      <c r="JU567" s="8"/>
      <c r="JV567" s="8"/>
      <c r="JW567" s="8"/>
      <c r="JX567" s="8"/>
      <c r="JY567" s="8"/>
      <c r="JZ567" s="8"/>
      <c r="KA567" s="8"/>
      <c r="KB567" s="8"/>
      <c r="KC567" s="8"/>
      <c r="KD567" s="8"/>
      <c r="KE567" s="8"/>
      <c r="KF567" s="8"/>
      <c r="KG567" s="8"/>
      <c r="KH567" s="8"/>
      <c r="KI567" s="8"/>
      <c r="KJ567" s="8"/>
      <c r="KK567" s="8"/>
      <c r="KL567" s="8"/>
      <c r="KM567" s="8"/>
      <c r="KN567" s="8"/>
      <c r="KO567" s="8"/>
      <c r="KP567" s="8"/>
      <c r="KQ567" s="8"/>
      <c r="KR567" s="8"/>
      <c r="KS567" s="8"/>
      <c r="KT567" s="8"/>
      <c r="KU567" s="8"/>
      <c r="KV567" s="8"/>
      <c r="KW567" s="8"/>
      <c r="KX567" s="8"/>
      <c r="KY567" s="8"/>
      <c r="KZ567" s="8"/>
      <c r="LA567" s="8"/>
      <c r="LB567" s="8"/>
      <c r="LC567" s="8"/>
      <c r="LD567" s="8"/>
      <c r="LE567" s="8"/>
      <c r="LF567" s="8"/>
      <c r="LG567" s="8"/>
      <c r="LH567" s="8"/>
      <c r="LI567" s="8"/>
      <c r="LJ567" s="8"/>
      <c r="LK567" s="8"/>
      <c r="LL567" s="8"/>
      <c r="LM567" s="8"/>
      <c r="LN567" s="8"/>
      <c r="LO567" s="8"/>
      <c r="LP567" s="8"/>
      <c r="LQ567" s="8"/>
      <c r="LR567" s="8"/>
      <c r="LS567" s="8"/>
      <c r="LT567" s="8"/>
      <c r="LU567" s="8"/>
      <c r="LV567" s="8"/>
      <c r="LW567" s="8"/>
      <c r="LX567" s="8"/>
      <c r="LY567" s="8"/>
      <c r="LZ567" s="8"/>
      <c r="MA567" s="8"/>
      <c r="MB567" s="8"/>
      <c r="MC567" s="8"/>
      <c r="MD567" s="8"/>
      <c r="ME567" s="8"/>
      <c r="MF567" s="8"/>
      <c r="MG567" s="8"/>
      <c r="MH567" s="8"/>
      <c r="MI567" s="8"/>
      <c r="MJ567" s="8"/>
      <c r="MK567" s="8"/>
      <c r="ML567" s="8"/>
      <c r="MM567" s="8"/>
      <c r="MN567" s="8"/>
      <c r="MO567" s="8"/>
      <c r="MP567" s="8"/>
      <c r="MQ567" s="8"/>
      <c r="MR567" s="8"/>
      <c r="MS567" s="8"/>
      <c r="MT567" s="8"/>
      <c r="MU567" s="8"/>
      <c r="MV567" s="8"/>
      <c r="MW567" s="8"/>
      <c r="MX567" s="8"/>
      <c r="MY567" s="8"/>
      <c r="MZ567" s="8"/>
      <c r="NA567" s="8"/>
      <c r="NB567" s="8"/>
      <c r="NC567" s="8"/>
      <c r="ND567" s="8"/>
      <c r="NE567" s="8"/>
      <c r="NF567" s="8"/>
      <c r="NG567" s="8"/>
      <c r="NH567" s="8"/>
      <c r="NI567" s="8"/>
      <c r="NJ567" s="8"/>
      <c r="NK567" s="8"/>
      <c r="NL567" s="8"/>
      <c r="NM567" s="8"/>
      <c r="NN567" s="8"/>
      <c r="NO567" s="8"/>
      <c r="NP567" s="8"/>
      <c r="NQ567" s="8"/>
      <c r="NR567" s="8"/>
      <c r="NS567" s="8"/>
      <c r="NT567" s="8"/>
      <c r="NU567" s="8"/>
      <c r="NV567" s="8"/>
      <c r="NW567" s="8"/>
      <c r="NX567" s="8"/>
      <c r="NY567" s="8"/>
      <c r="NZ567" s="8"/>
      <c r="OA567" s="8"/>
      <c r="OB567" s="8"/>
      <c r="OC567" s="8"/>
      <c r="OD567" s="8"/>
      <c r="OE567" s="8"/>
      <c r="OF567" s="8"/>
      <c r="OG567" s="8"/>
      <c r="OH567" s="8"/>
      <c r="OI567" s="8"/>
      <c r="OJ567" s="8"/>
      <c r="OK567" s="8"/>
      <c r="OL567" s="8"/>
      <c r="OM567" s="8"/>
      <c r="ON567" s="8"/>
      <c r="OO567" s="8"/>
      <c r="OP567" s="8"/>
      <c r="OQ567" s="8"/>
      <c r="OR567" s="8"/>
      <c r="OS567" s="8"/>
      <c r="OT567" s="8"/>
      <c r="OU567" s="8"/>
      <c r="OV567" s="8"/>
      <c r="OW567" s="8"/>
      <c r="OX567" s="8"/>
      <c r="OY567" s="8"/>
      <c r="OZ567" s="8"/>
      <c r="PA567" s="8"/>
      <c r="PB567" s="8"/>
      <c r="PC567" s="8"/>
      <c r="PD567" s="8"/>
      <c r="PE567" s="8"/>
      <c r="PF567" s="8"/>
      <c r="PG567" s="8"/>
      <c r="PH567" s="8"/>
      <c r="PI567" s="8"/>
      <c r="PJ567" s="8"/>
      <c r="PK567" s="8"/>
      <c r="PL567" s="8"/>
      <c r="PM567" s="8"/>
      <c r="PN567" s="8"/>
      <c r="PO567" s="8"/>
      <c r="PP567" s="8"/>
      <c r="PQ567" s="8"/>
      <c r="PR567" s="8"/>
      <c r="PS567" s="8"/>
      <c r="PT567" s="8"/>
      <c r="PU567" s="8"/>
      <c r="PV567" s="8"/>
      <c r="PW567" s="8"/>
      <c r="PX567" s="8"/>
      <c r="PY567" s="8"/>
      <c r="PZ567" s="8"/>
      <c r="QA567" s="8"/>
      <c r="QB567" s="8"/>
      <c r="QC567" s="8"/>
      <c r="QD567" s="8"/>
      <c r="QE567" s="8"/>
      <c r="QF567" s="8"/>
      <c r="QG567" s="8"/>
      <c r="QH567" s="8"/>
      <c r="QI567" s="8"/>
      <c r="QJ567" s="8"/>
      <c r="QK567" s="8"/>
      <c r="QL567" s="8"/>
      <c r="QM567" s="8"/>
      <c r="QN567" s="8"/>
      <c r="QO567" s="8"/>
      <c r="QP567" s="8"/>
      <c r="QQ567" s="8"/>
      <c r="QR567" s="8"/>
      <c r="QS567" s="8"/>
      <c r="QT567" s="8"/>
      <c r="QU567" s="8"/>
      <c r="QV567" s="8"/>
      <c r="QW567" s="8"/>
      <c r="QX567" s="8"/>
      <c r="QY567" s="8"/>
      <c r="QZ567" s="8"/>
      <c r="RA567" s="8"/>
      <c r="RB567" s="8"/>
      <c r="RC567" s="8"/>
      <c r="RD567" s="8"/>
      <c r="RE567" s="8"/>
      <c r="RF567" s="8"/>
      <c r="RG567" s="8"/>
      <c r="RH567" s="8"/>
      <c r="RI567" s="8"/>
      <c r="RJ567" s="8"/>
      <c r="RK567" s="8"/>
      <c r="RL567" s="8"/>
      <c r="RM567" s="8"/>
      <c r="RN567" s="8"/>
      <c r="RO567" s="8"/>
      <c r="RP567" s="8"/>
      <c r="RQ567" s="8"/>
      <c r="RR567" s="8"/>
      <c r="RS567" s="8"/>
      <c r="RT567" s="8"/>
      <c r="RU567" s="8"/>
      <c r="RV567" s="8"/>
      <c r="RW567" s="8"/>
      <c r="RX567" s="8"/>
      <c r="RY567" s="8"/>
      <c r="RZ567" s="8"/>
      <c r="SA567" s="8"/>
      <c r="SB567" s="8"/>
      <c r="SC567" s="8"/>
      <c r="SD567" s="8"/>
      <c r="SE567" s="8"/>
      <c r="SF567" s="8"/>
      <c r="SG567" s="8"/>
      <c r="SH567" s="8"/>
      <c r="SI567" s="8"/>
      <c r="SJ567" s="8"/>
      <c r="SK567" s="8"/>
      <c r="SL567" s="8"/>
      <c r="SM567" s="8"/>
      <c r="SN567" s="8"/>
      <c r="SO567" s="8"/>
      <c r="SP567" s="8"/>
      <c r="SQ567" s="8"/>
      <c r="SR567" s="8"/>
      <c r="SS567" s="8"/>
      <c r="ST567" s="8"/>
      <c r="SU567" s="8"/>
      <c r="SV567" s="8"/>
      <c r="SW567" s="8"/>
      <c r="SX567" s="8"/>
      <c r="SY567" s="8"/>
      <c r="SZ567" s="8"/>
      <c r="TA567" s="8"/>
      <c r="TB567" s="8"/>
      <c r="TC567" s="8"/>
      <c r="TD567" s="8"/>
      <c r="TE567" s="8"/>
      <c r="TF567" s="8"/>
      <c r="TG567" s="8"/>
      <c r="TH567" s="8"/>
      <c r="TI567" s="8"/>
      <c r="TJ567" s="8"/>
      <c r="TK567" s="8"/>
      <c r="TL567" s="8"/>
      <c r="TM567" s="8"/>
      <c r="TN567" s="8"/>
      <c r="TO567" s="8"/>
      <c r="TP567" s="8"/>
      <c r="TQ567" s="8"/>
      <c r="TR567" s="8"/>
      <c r="TS567" s="8"/>
      <c r="TT567" s="8"/>
      <c r="TU567" s="8"/>
      <c r="TV567" s="8"/>
      <c r="TW567" s="8"/>
      <c r="TX567" s="8"/>
      <c r="TY567" s="8"/>
      <c r="TZ567" s="8"/>
      <c r="UA567" s="8"/>
      <c r="UB567" s="8"/>
      <c r="UC567" s="8"/>
      <c r="UD567" s="8"/>
      <c r="UE567" s="8"/>
      <c r="UF567" s="8"/>
      <c r="UG567" s="8"/>
      <c r="UH567" s="8"/>
      <c r="UI567" s="8"/>
      <c r="UJ567" s="8"/>
      <c r="UK567" s="8"/>
      <c r="UL567" s="8"/>
      <c r="UM567" s="8"/>
      <c r="UN567" s="8"/>
      <c r="UO567" s="8"/>
      <c r="UP567" s="8"/>
      <c r="UQ567" s="8"/>
      <c r="UR567" s="8"/>
      <c r="US567" s="8"/>
      <c r="UT567" s="8"/>
      <c r="UU567" s="8"/>
      <c r="UV567" s="8"/>
      <c r="UW567" s="8"/>
      <c r="UX567" s="8"/>
      <c r="UY567" s="8"/>
      <c r="UZ567" s="8"/>
      <c r="VA567" s="8"/>
      <c r="VB567" s="8"/>
      <c r="VC567" s="8"/>
      <c r="VD567" s="8"/>
      <c r="VE567" s="8"/>
      <c r="VF567" s="8"/>
      <c r="VG567" s="8"/>
      <c r="VH567" s="8"/>
      <c r="VI567" s="8"/>
      <c r="VJ567" s="8"/>
      <c r="VK567" s="8"/>
      <c r="VL567" s="8"/>
      <c r="VM567" s="8"/>
      <c r="VN567" s="8"/>
      <c r="VO567" s="8"/>
      <c r="VP567" s="8"/>
      <c r="VQ567" s="8"/>
      <c r="VR567" s="8"/>
      <c r="VS567" s="8"/>
      <c r="VT567" s="8"/>
      <c r="VU567" s="8"/>
      <c r="VV567" s="8"/>
      <c r="VW567" s="8"/>
      <c r="VX567" s="8"/>
      <c r="VY567" s="8"/>
      <c r="VZ567" s="8"/>
      <c r="WA567" s="8"/>
      <c r="WB567" s="8"/>
      <c r="WC567" s="8"/>
      <c r="WD567" s="8"/>
      <c r="WE567" s="8"/>
      <c r="WF567" s="8"/>
      <c r="WG567" s="8"/>
      <c r="WH567" s="8"/>
      <c r="WI567" s="8"/>
      <c r="WJ567" s="8"/>
      <c r="WK567" s="8"/>
      <c r="WL567" s="8"/>
      <c r="WM567" s="8"/>
      <c r="WN567" s="8"/>
      <c r="WO567" s="8"/>
      <c r="WP567" s="8"/>
      <c r="WQ567" s="8"/>
      <c r="WR567" s="8"/>
      <c r="WS567" s="8"/>
      <c r="WT567" s="8"/>
      <c r="WU567" s="8"/>
      <c r="WV567" s="8"/>
      <c r="WW567" s="8"/>
      <c r="WX567" s="8"/>
      <c r="WY567" s="8"/>
      <c r="WZ567" s="8"/>
      <c r="XA567" s="8"/>
      <c r="XB567" s="8"/>
      <c r="XC567" s="8"/>
      <c r="XD567" s="8"/>
      <c r="XE567" s="8"/>
      <c r="XF567" s="8"/>
      <c r="XG567" s="8"/>
      <c r="XH567" s="8"/>
      <c r="XI567" s="8"/>
      <c r="XJ567" s="8"/>
      <c r="XK567" s="8"/>
      <c r="XL567" s="8"/>
      <c r="XM567" s="8"/>
      <c r="XN567" s="8"/>
      <c r="XO567" s="8"/>
      <c r="XP567" s="8"/>
      <c r="XQ567" s="8"/>
      <c r="XR567" s="8"/>
      <c r="XS567" s="8"/>
      <c r="XT567" s="8"/>
      <c r="XU567" s="8"/>
      <c r="XV567" s="8"/>
      <c r="XW567" s="8"/>
      <c r="XX567" s="8"/>
      <c r="XY567" s="8"/>
      <c r="XZ567" s="8"/>
      <c r="YA567" s="8"/>
      <c r="YB567" s="8"/>
      <c r="YC567" s="8"/>
      <c r="YD567" s="8"/>
      <c r="YE567" s="8"/>
      <c r="YF567" s="8"/>
      <c r="YG567" s="8"/>
      <c r="YH567" s="8"/>
      <c r="YI567" s="8"/>
      <c r="YJ567" s="8"/>
      <c r="YK567" s="8"/>
      <c r="YL567" s="8"/>
      <c r="YM567" s="8"/>
      <c r="YN567" s="8"/>
      <c r="YO567" s="8"/>
      <c r="YP567" s="8"/>
      <c r="YQ567" s="8"/>
      <c r="YR567" s="8"/>
      <c r="YS567" s="8"/>
      <c r="YT567" s="8"/>
      <c r="YU567" s="8"/>
      <c r="YV567" s="8"/>
      <c r="YW567" s="8"/>
      <c r="YX567" s="8"/>
      <c r="YY567" s="8"/>
      <c r="YZ567" s="8"/>
      <c r="ZA567" s="8"/>
      <c r="ZB567" s="8"/>
      <c r="ZC567" s="8"/>
      <c r="ZD567" s="8"/>
      <c r="ZE567" s="8"/>
      <c r="ZF567" s="8"/>
      <c r="ZG567" s="8"/>
      <c r="ZH567" s="8"/>
      <c r="ZI567" s="8"/>
      <c r="ZJ567" s="8"/>
      <c r="ZK567" s="8"/>
      <c r="ZL567" s="8"/>
      <c r="ZM567" s="8"/>
      <c r="ZN567" s="8"/>
      <c r="ZO567" s="8"/>
      <c r="ZP567" s="8"/>
      <c r="ZQ567" s="8"/>
      <c r="ZR567" s="8"/>
      <c r="ZS567" s="8"/>
      <c r="ZT567" s="8"/>
      <c r="ZU567" s="8"/>
      <c r="ZV567" s="8"/>
      <c r="ZW567" s="8"/>
      <c r="ZX567" s="8"/>
      <c r="ZY567" s="8"/>
      <c r="ZZ567" s="8"/>
      <c r="AAA567" s="8"/>
      <c r="AAB567" s="8"/>
      <c r="AAC567" s="8"/>
      <c r="AAD567" s="8"/>
      <c r="AAE567" s="8"/>
      <c r="AAF567" s="8"/>
      <c r="AAG567" s="8"/>
      <c r="AAH567" s="8"/>
      <c r="AAI567" s="8"/>
      <c r="AAJ567" s="8"/>
      <c r="AAK567" s="8"/>
      <c r="AAL567" s="8"/>
      <c r="AAM567" s="8"/>
      <c r="AAN567" s="8"/>
      <c r="AAO567" s="8"/>
      <c r="AAP567" s="8"/>
      <c r="AAQ567" s="8"/>
      <c r="AAR567" s="8"/>
      <c r="AAS567" s="8"/>
      <c r="AAT567" s="8"/>
      <c r="AAU567" s="8"/>
      <c r="AAV567" s="8"/>
      <c r="AAW567" s="8"/>
      <c r="AAX567" s="8"/>
      <c r="AAY567" s="8"/>
      <c r="AAZ567" s="8"/>
      <c r="ABA567" s="8"/>
      <c r="ABB567" s="8"/>
      <c r="ABC567" s="8"/>
      <c r="ABD567" s="8"/>
      <c r="ABE567" s="8"/>
      <c r="ABF567" s="8"/>
      <c r="ABG567" s="8"/>
      <c r="ABH567" s="8"/>
      <c r="ABI567" s="8"/>
      <c r="ABJ567" s="8"/>
      <c r="ABK567" s="8"/>
      <c r="ABL567" s="8"/>
      <c r="ABM567" s="8"/>
      <c r="ABN567" s="8"/>
      <c r="ABO567" s="8"/>
      <c r="ABP567" s="8"/>
      <c r="ABQ567" s="8"/>
      <c r="ABR567" s="8"/>
      <c r="ABS567" s="8"/>
      <c r="ABT567" s="8"/>
      <c r="ABU567" s="8"/>
      <c r="ABV567" s="8"/>
      <c r="ABW567" s="8"/>
      <c r="ABX567" s="8"/>
      <c r="ABY567" s="8"/>
      <c r="ABZ567" s="8"/>
      <c r="ACA567" s="8"/>
      <c r="ACB567" s="8"/>
      <c r="ACC567" s="8"/>
      <c r="ACD567" s="8"/>
      <c r="ACE567" s="8"/>
      <c r="ACF567" s="8"/>
      <c r="ACG567" s="8"/>
      <c r="ACH567" s="8"/>
      <c r="ACI567" s="8"/>
      <c r="ACJ567" s="8"/>
      <c r="ACK567" s="8"/>
      <c r="ACL567" s="8"/>
      <c r="ACM567" s="8"/>
      <c r="ACN567" s="8"/>
      <c r="ACO567" s="8"/>
      <c r="ACP567" s="8"/>
      <c r="ACQ567" s="8"/>
      <c r="ACR567" s="8"/>
      <c r="ACS567" s="8"/>
      <c r="ACT567" s="8"/>
      <c r="ACU567" s="8"/>
      <c r="ACV567" s="8"/>
      <c r="ACW567" s="8"/>
      <c r="ACX567" s="8"/>
      <c r="ACY567" s="8"/>
      <c r="ACZ567" s="8"/>
      <c r="ADA567" s="8"/>
      <c r="ADB567" s="8"/>
      <c r="ADC567" s="8"/>
      <c r="ADD567" s="8"/>
      <c r="ADE567" s="8"/>
      <c r="ADF567" s="8"/>
      <c r="ADG567" s="8"/>
      <c r="ADH567" s="8"/>
      <c r="ADI567" s="8"/>
      <c r="ADJ567" s="8"/>
      <c r="ADK567" s="8"/>
      <c r="ADL567" s="8"/>
      <c r="ADM567" s="8"/>
      <c r="ADN567" s="8"/>
      <c r="ADO567" s="8"/>
      <c r="ADP567" s="8"/>
      <c r="ADQ567" s="8"/>
      <c r="ADR567" s="8"/>
      <c r="ADS567" s="8"/>
      <c r="ADT567" s="8"/>
      <c r="ADU567" s="8"/>
      <c r="ADV567" s="8"/>
      <c r="ADW567" s="8"/>
      <c r="ADX567" s="8"/>
      <c r="ADY567" s="8"/>
      <c r="ADZ567" s="8"/>
      <c r="AEA567" s="8"/>
      <c r="AEB567" s="8"/>
      <c r="AEC567" s="8"/>
      <c r="AED567" s="8"/>
      <c r="AEE567" s="8"/>
      <c r="AEF567" s="8"/>
      <c r="AEG567" s="8"/>
      <c r="AEH567" s="8"/>
      <c r="AEI567" s="8"/>
      <c r="AEJ567" s="8"/>
      <c r="AEK567" s="8"/>
      <c r="AEL567" s="8"/>
      <c r="AEM567" s="8"/>
      <c r="AEN567" s="8"/>
      <c r="AEO567" s="8"/>
      <c r="AEP567" s="8"/>
      <c r="AEQ567" s="8"/>
      <c r="AER567" s="8"/>
      <c r="AES567" s="8"/>
      <c r="AET567" s="8"/>
      <c r="AEU567" s="8"/>
      <c r="AEV567" s="8"/>
      <c r="AEW567" s="8"/>
      <c r="AEX567" s="8"/>
      <c r="AEY567" s="8"/>
      <c r="AEZ567" s="8"/>
      <c r="AFA567" s="8"/>
      <c r="AFB567" s="8"/>
      <c r="AFC567" s="8"/>
      <c r="AFD567" s="8"/>
      <c r="AFE567" s="8"/>
      <c r="AFF567" s="8"/>
      <c r="AFG567" s="8"/>
      <c r="AFH567" s="8"/>
      <c r="AFI567" s="8"/>
      <c r="AFJ567" s="8"/>
      <c r="AFK567" s="8"/>
      <c r="AFL567" s="8"/>
      <c r="AFM567" s="8"/>
      <c r="AFN567" s="8"/>
      <c r="AFO567" s="8"/>
      <c r="AFP567" s="8"/>
      <c r="AFQ567" s="8"/>
      <c r="AFR567" s="8"/>
      <c r="AFS567" s="8"/>
      <c r="AFT567" s="8"/>
      <c r="AFU567" s="8"/>
      <c r="AFV567" s="8"/>
      <c r="AFW567" s="8"/>
      <c r="AFX567" s="8"/>
      <c r="AFY567" s="8"/>
      <c r="AFZ567" s="8"/>
      <c r="AGA567" s="8"/>
      <c r="AGB567" s="8"/>
      <c r="AGC567" s="8"/>
      <c r="AGD567" s="8"/>
      <c r="AGE567" s="8"/>
      <c r="AGF567" s="8"/>
      <c r="AGG567" s="8"/>
      <c r="AGH567" s="8"/>
      <c r="AGI567" s="8"/>
      <c r="AGJ567" s="8"/>
      <c r="AGK567" s="8"/>
      <c r="AGL567" s="8"/>
      <c r="AGM567" s="8"/>
      <c r="AGN567" s="8"/>
      <c r="AGO567" s="8"/>
      <c r="AGP567" s="8"/>
      <c r="AGQ567" s="8"/>
      <c r="AGR567" s="8"/>
      <c r="AGS567" s="8"/>
      <c r="AGT567" s="8"/>
      <c r="AGU567" s="8"/>
      <c r="AGV567" s="8"/>
      <c r="AGW567" s="8"/>
      <c r="AGX567" s="8"/>
      <c r="AGY567" s="8"/>
      <c r="AGZ567" s="8"/>
      <c r="AHA567" s="8"/>
      <c r="AHB567" s="8"/>
      <c r="AHC567" s="8"/>
      <c r="AHD567" s="8"/>
      <c r="AHE567" s="8"/>
      <c r="AHF567" s="8"/>
      <c r="AHG567" s="8"/>
      <c r="AHH567" s="8"/>
      <c r="AHI567" s="8"/>
      <c r="AHJ567" s="8"/>
      <c r="AHK567" s="8"/>
      <c r="AHL567" s="8"/>
      <c r="AHM567" s="8"/>
      <c r="AHN567" s="8"/>
      <c r="AHO567" s="8"/>
      <c r="AHP567" s="8"/>
      <c r="AHQ567" s="8"/>
      <c r="AHR567" s="8"/>
      <c r="AHS567" s="8"/>
      <c r="AHT567" s="8"/>
      <c r="AHU567" s="8"/>
      <c r="AHV567" s="8"/>
      <c r="AHW567" s="8"/>
      <c r="AHX567" s="8"/>
      <c r="AHY567" s="8"/>
      <c r="AHZ567" s="8"/>
      <c r="AIA567" s="8"/>
      <c r="AIB567" s="8"/>
      <c r="AIC567" s="8"/>
      <c r="AID567" s="8"/>
      <c r="AIE567" s="8"/>
      <c r="AIF567" s="8"/>
      <c r="AIG567" s="8"/>
      <c r="AIH567" s="8"/>
      <c r="AII567" s="8"/>
      <c r="AIJ567" s="8"/>
      <c r="AIK567" s="8"/>
      <c r="AIL567" s="8"/>
      <c r="AIM567" s="8"/>
      <c r="AIN567" s="8"/>
      <c r="AIO567" s="8"/>
      <c r="AIP567" s="8"/>
      <c r="AIQ567" s="8"/>
      <c r="AIR567" s="8"/>
      <c r="AIS567" s="8"/>
      <c r="AIT567" s="8"/>
      <c r="AIU567" s="8"/>
      <c r="AIV567" s="8"/>
      <c r="AIW567" s="8"/>
      <c r="AIX567" s="8"/>
      <c r="AIY567" s="8"/>
      <c r="AIZ567" s="8"/>
      <c r="AJA567" s="8"/>
      <c r="AJB567" s="8"/>
      <c r="AJC567" s="8"/>
      <c r="AJD567" s="8"/>
      <c r="AJE567" s="8"/>
      <c r="AJF567" s="8"/>
      <c r="AJG567" s="8"/>
      <c r="AJH567" s="8"/>
      <c r="AJI567" s="8"/>
      <c r="AJJ567" s="8"/>
      <c r="AJK567" s="8"/>
      <c r="AJL567" s="8"/>
      <c r="AJM567" s="8"/>
      <c r="AJN567" s="8"/>
      <c r="AJO567" s="8"/>
      <c r="AJP567" s="8"/>
      <c r="AJQ567" s="8"/>
      <c r="AJR567" s="8"/>
      <c r="AJS567" s="8"/>
      <c r="AJT567" s="8"/>
      <c r="AJU567" s="8"/>
      <c r="AJV567" s="8"/>
      <c r="AJW567" s="8"/>
      <c r="AJX567" s="8"/>
      <c r="AJY567" s="8"/>
      <c r="AJZ567" s="8"/>
      <c r="AKA567" s="8"/>
      <c r="AKB567" s="8"/>
      <c r="AKC567" s="8"/>
      <c r="AKD567" s="8"/>
      <c r="AKE567" s="8"/>
      <c r="AKF567" s="8"/>
      <c r="AKG567" s="8"/>
      <c r="AKH567" s="8"/>
      <c r="AKI567" s="8"/>
      <c r="AKJ567" s="8"/>
      <c r="AKK567" s="8"/>
      <c r="AKL567" s="8"/>
      <c r="AKM567" s="8"/>
      <c r="AKN567" s="8"/>
      <c r="AKO567" s="8"/>
      <c r="AKP567" s="8"/>
      <c r="AKQ567" s="8"/>
      <c r="AKR567" s="8"/>
      <c r="AKS567" s="8"/>
      <c r="AKT567" s="8"/>
      <c r="AKU567" s="8"/>
      <c r="AKV567" s="8"/>
      <c r="AKW567" s="8"/>
      <c r="AKX567" s="8"/>
      <c r="AKY567" s="8"/>
      <c r="AKZ567" s="8"/>
      <c r="ALA567" s="8"/>
      <c r="ALB567" s="8"/>
      <c r="ALC567" s="8"/>
      <c r="ALD567" s="8"/>
      <c r="ALE567" s="8"/>
      <c r="ALF567" s="8"/>
      <c r="ALG567" s="8"/>
      <c r="ALH567" s="8"/>
      <c r="ALI567" s="8"/>
      <c r="ALJ567" s="8"/>
      <c r="ALK567" s="8"/>
      <c r="ALL567" s="8"/>
      <c r="ALM567" s="8"/>
      <c r="ALN567" s="8"/>
      <c r="ALO567" s="8"/>
      <c r="ALP567" s="8"/>
      <c r="ALQ567" s="8"/>
      <c r="ALR567" s="8"/>
      <c r="ALS567" s="8"/>
      <c r="ALT567" s="8"/>
      <c r="ALU567" s="8"/>
      <c r="ALV567" s="8"/>
      <c r="ALW567" s="8"/>
      <c r="ALX567" s="8"/>
      <c r="ALY567" s="8"/>
      <c r="ALZ567" s="8"/>
      <c r="AMA567" s="8"/>
      <c r="AMB567" s="8"/>
      <c r="AMC567" s="8"/>
      <c r="AMD567" s="8"/>
      <c r="AME567" s="8"/>
      <c r="AMF567" s="8"/>
      <c r="AMG567" s="8"/>
      <c r="AMH567" s="8"/>
      <c r="AMI567" s="8"/>
      <c r="AMJ567" s="8"/>
      <c r="AMK567" s="8"/>
      <c r="AML567" s="8"/>
      <c r="AMM567" s="8"/>
      <c r="AMN567" s="8"/>
      <c r="AMO567" s="8"/>
      <c r="AMP567" s="8"/>
      <c r="AMQ567" s="8"/>
      <c r="AMR567" s="8"/>
      <c r="AMS567" s="8"/>
      <c r="AMT567" s="8"/>
      <c r="AMU567" s="8"/>
      <c r="AMV567" s="8"/>
      <c r="AMW567" s="8"/>
      <c r="AMX567" s="8"/>
      <c r="AMY567" s="8"/>
      <c r="AMZ567" s="8"/>
      <c r="ANA567" s="8"/>
      <c r="ANB567" s="8"/>
      <c r="ANC567" s="8"/>
      <c r="AND567" s="8"/>
      <c r="ANE567" s="8"/>
      <c r="ANF567" s="8"/>
      <c r="ANG567" s="8"/>
      <c r="ANH567" s="8"/>
      <c r="ANI567" s="8"/>
      <c r="ANJ567" s="8"/>
      <c r="ANK567" s="8"/>
      <c r="ANL567" s="8"/>
      <c r="ANM567" s="8"/>
      <c r="ANN567" s="8"/>
      <c r="ANO567" s="8"/>
      <c r="ANP567" s="8"/>
      <c r="ANQ567" s="8"/>
      <c r="ANR567" s="8"/>
      <c r="ANS567" s="8"/>
      <c r="ANT567" s="8"/>
      <c r="ANU567" s="8"/>
      <c r="ANV567" s="8"/>
      <c r="ANW567" s="8"/>
      <c r="ANX567" s="8"/>
      <c r="ANY567" s="8"/>
      <c r="ANZ567" s="8"/>
      <c r="AOA567" s="8"/>
      <c r="AOB567" s="8"/>
      <c r="AOC567" s="8"/>
      <c r="AOD567" s="8"/>
      <c r="AOE567" s="8"/>
      <c r="AOF567" s="8"/>
      <c r="AOG567" s="8"/>
      <c r="AOH567" s="8"/>
      <c r="AOI567" s="8"/>
      <c r="AOJ567" s="8"/>
      <c r="AOK567" s="8"/>
      <c r="AOL567" s="8"/>
      <c r="AOM567" s="8"/>
      <c r="AON567" s="8"/>
      <c r="AOO567" s="8"/>
      <c r="AOP567" s="8"/>
      <c r="AOQ567" s="8"/>
      <c r="AOR567" s="8"/>
      <c r="AOS567" s="8"/>
      <c r="AOT567" s="8"/>
      <c r="AOU567" s="8"/>
      <c r="AOV567" s="8"/>
      <c r="AOW567" s="8"/>
      <c r="AOX567" s="8"/>
      <c r="AOY567" s="8"/>
      <c r="AOZ567" s="8"/>
      <c r="APA567" s="8"/>
      <c r="APB567" s="8"/>
      <c r="APC567" s="8"/>
      <c r="APD567" s="8"/>
      <c r="APE567" s="8"/>
      <c r="APF567" s="8"/>
      <c r="APG567" s="8"/>
      <c r="APH567" s="8"/>
      <c r="API567" s="8"/>
      <c r="APJ567" s="8"/>
      <c r="APK567" s="8"/>
      <c r="APL567" s="8"/>
      <c r="APM567" s="8"/>
      <c r="APN567" s="8"/>
      <c r="APO567" s="8"/>
      <c r="APP567" s="8"/>
      <c r="APQ567" s="8"/>
      <c r="APR567" s="8"/>
      <c r="APS567" s="8"/>
      <c r="APT567" s="8"/>
      <c r="APU567" s="8"/>
      <c r="APV567" s="8"/>
      <c r="APW567" s="8"/>
      <c r="APX567" s="8"/>
      <c r="APY567" s="8"/>
      <c r="APZ567" s="8"/>
      <c r="AQA567" s="8"/>
      <c r="AQB567" s="8"/>
      <c r="AQC567" s="8"/>
      <c r="AQD567" s="8"/>
      <c r="AQE567" s="8"/>
      <c r="AQF567" s="8"/>
      <c r="AQG567" s="8"/>
      <c r="AQH567" s="8"/>
      <c r="AQI567" s="8"/>
      <c r="AQJ567" s="8"/>
      <c r="AQK567" s="8"/>
      <c r="AQL567" s="8"/>
      <c r="AQM567" s="8"/>
      <c r="AQN567" s="8"/>
      <c r="AQO567" s="8"/>
      <c r="AQP567" s="8"/>
      <c r="AQQ567" s="8"/>
      <c r="AQR567" s="8"/>
      <c r="AQS567" s="8"/>
      <c r="AQT567" s="8"/>
      <c r="AQU567" s="8"/>
      <c r="AQV567" s="8"/>
      <c r="AQW567" s="8"/>
      <c r="AQX567" s="8"/>
      <c r="AQY567" s="8"/>
      <c r="AQZ567" s="8"/>
      <c r="ARA567" s="8"/>
      <c r="ARB567" s="8"/>
      <c r="ARC567" s="8"/>
      <c r="ARD567" s="8"/>
      <c r="ARE567" s="8"/>
      <c r="ARF567" s="8"/>
      <c r="ARG567" s="8"/>
      <c r="ARH567" s="8"/>
      <c r="ARI567" s="8"/>
      <c r="ARJ567" s="8"/>
      <c r="ARK567" s="8"/>
      <c r="ARL567" s="8"/>
      <c r="ARM567" s="8"/>
      <c r="ARN567" s="8"/>
      <c r="ARO567" s="8"/>
      <c r="ARP567" s="8"/>
      <c r="ARQ567" s="8"/>
      <c r="ARR567" s="8"/>
      <c r="ARS567" s="8"/>
      <c r="ART567" s="8"/>
      <c r="ARU567" s="8"/>
      <c r="ARV567" s="8"/>
      <c r="ARW567" s="8"/>
      <c r="ARX567" s="8"/>
      <c r="ARY567" s="8"/>
      <c r="ARZ567" s="8"/>
      <c r="ASA567" s="8"/>
      <c r="ASB567" s="8"/>
      <c r="ASC567" s="8"/>
      <c r="ASD567" s="8"/>
      <c r="ASE567" s="8"/>
      <c r="ASF567" s="8"/>
      <c r="ASG567" s="8"/>
      <c r="ASH567" s="8"/>
      <c r="ASI567" s="8"/>
      <c r="ASJ567" s="8"/>
      <c r="ASK567" s="8"/>
      <c r="ASL567" s="8"/>
      <c r="ASM567" s="8"/>
      <c r="ASN567" s="8"/>
      <c r="ASO567" s="8"/>
      <c r="ASP567" s="8"/>
      <c r="ASQ567" s="8"/>
      <c r="ASR567" s="8"/>
      <c r="ASS567" s="8"/>
      <c r="AST567" s="8"/>
      <c r="ASU567" s="8"/>
      <c r="ASV567" s="8"/>
      <c r="ASW567" s="8"/>
      <c r="ASX567" s="8"/>
      <c r="ASY567" s="8"/>
      <c r="ASZ567" s="8"/>
      <c r="ATA567" s="8"/>
      <c r="ATB567" s="8"/>
      <c r="ATC567" s="8"/>
      <c r="ATD567" s="8"/>
      <c r="ATE567" s="8"/>
      <c r="ATF567" s="8"/>
      <c r="ATG567" s="8"/>
      <c r="ATH567" s="8"/>
      <c r="ATI567" s="8"/>
      <c r="ATJ567" s="8"/>
      <c r="ATK567" s="8"/>
      <c r="ATL567" s="8"/>
      <c r="ATM567" s="8"/>
      <c r="ATN567" s="8"/>
      <c r="ATO567" s="8"/>
      <c r="ATP567" s="8"/>
      <c r="ATQ567" s="8"/>
      <c r="ATR567" s="8"/>
      <c r="ATS567" s="8"/>
      <c r="ATT567" s="8"/>
      <c r="ATU567" s="8"/>
      <c r="ATV567" s="8"/>
      <c r="ATW567" s="8"/>
      <c r="ATX567" s="8"/>
      <c r="ATY567" s="8"/>
      <c r="ATZ567" s="8"/>
      <c r="AUA567" s="8"/>
      <c r="AUB567" s="8"/>
      <c r="AUC567" s="8"/>
      <c r="AUD567" s="8"/>
      <c r="AUE567" s="8"/>
      <c r="AUF567" s="8"/>
      <c r="AUG567" s="8"/>
      <c r="AUH567" s="8"/>
      <c r="AUI567" s="8"/>
      <c r="AUJ567" s="8"/>
      <c r="AUK567" s="8"/>
      <c r="AUL567" s="8"/>
      <c r="AUM567" s="8"/>
      <c r="AUN567" s="8"/>
      <c r="AUO567" s="8"/>
      <c r="AUP567" s="8"/>
      <c r="AUQ567" s="8"/>
      <c r="AUR567" s="8"/>
      <c r="AUS567" s="8"/>
      <c r="AUT567" s="8"/>
      <c r="AUU567" s="8"/>
      <c r="AUV567" s="8"/>
      <c r="AUW567" s="8"/>
      <c r="AUX567" s="8"/>
      <c r="AUY567" s="8"/>
      <c r="AUZ567" s="8"/>
      <c r="AVA567" s="8"/>
      <c r="AVB567" s="8"/>
      <c r="AVC567" s="8"/>
      <c r="AVD567" s="8"/>
      <c r="AVE567" s="8"/>
      <c r="AVF567" s="8"/>
      <c r="AVG567" s="8"/>
      <c r="AVH567" s="8"/>
      <c r="AVI567" s="8"/>
      <c r="AVJ567" s="8"/>
      <c r="AVK567" s="8"/>
      <c r="AVL567" s="8"/>
      <c r="AVM567" s="8"/>
      <c r="AVN567" s="8"/>
      <c r="AVO567" s="8"/>
      <c r="AVP567" s="8"/>
      <c r="AVQ567" s="8"/>
      <c r="AVR567" s="8"/>
      <c r="AVS567" s="8"/>
      <c r="AVT567" s="8"/>
      <c r="AVU567" s="8"/>
      <c r="AVV567" s="8"/>
      <c r="AVW567" s="8"/>
      <c r="AVX567" s="8"/>
      <c r="AVY567" s="8"/>
      <c r="AVZ567" s="8"/>
      <c r="AWA567" s="8"/>
      <c r="AWB567" s="8"/>
      <c r="AWC567" s="8"/>
      <c r="AWD567" s="8"/>
      <c r="AWE567" s="8"/>
      <c r="AWF567" s="8"/>
      <c r="AWG567" s="8"/>
      <c r="AWH567" s="8"/>
      <c r="AWI567" s="8"/>
      <c r="AWJ567" s="8"/>
      <c r="AWK567" s="8"/>
      <c r="AWL567" s="8"/>
      <c r="AWM567" s="8"/>
      <c r="AWN567" s="8"/>
      <c r="AWO567" s="8"/>
      <c r="AWP567" s="8"/>
      <c r="AWQ567" s="8"/>
      <c r="AWR567" s="8"/>
      <c r="AWS567" s="8"/>
      <c r="AWT567" s="8"/>
      <c r="AWU567" s="8"/>
      <c r="AWV567" s="8"/>
      <c r="AWW567" s="8"/>
      <c r="AWX567" s="8"/>
      <c r="AWY567" s="8"/>
      <c r="AWZ567" s="8"/>
      <c r="AXA567" s="8"/>
      <c r="AXB567" s="8"/>
      <c r="AXC567" s="8"/>
      <c r="AXD567" s="8"/>
      <c r="AXE567" s="8"/>
      <c r="AXF567" s="8"/>
      <c r="AXG567" s="8"/>
      <c r="AXH567" s="8"/>
      <c r="AXI567" s="8"/>
      <c r="AXJ567" s="8"/>
      <c r="AXK567" s="8"/>
      <c r="AXL567" s="8"/>
      <c r="AXM567" s="8"/>
      <c r="AXN567" s="8"/>
      <c r="AXO567" s="8"/>
      <c r="AXP567" s="8"/>
      <c r="AXQ567" s="8"/>
      <c r="AXR567" s="8"/>
      <c r="AXS567" s="8"/>
      <c r="AXT567" s="8"/>
      <c r="AXU567" s="8"/>
      <c r="AXV567" s="8"/>
      <c r="AXW567" s="8"/>
      <c r="AXX567" s="8"/>
      <c r="AXY567" s="8"/>
      <c r="AXZ567" s="8"/>
      <c r="AYA567" s="8"/>
      <c r="AYB567" s="8"/>
      <c r="AYC567" s="8"/>
      <c r="AYD567" s="8"/>
      <c r="AYE567" s="8"/>
      <c r="AYF567" s="8"/>
      <c r="AYG567" s="8"/>
      <c r="AYH567" s="8"/>
      <c r="AYI567" s="8"/>
      <c r="AYJ567" s="8"/>
      <c r="AYK567" s="8"/>
      <c r="AYL567" s="8"/>
      <c r="AYM567" s="8"/>
      <c r="AYN567" s="8"/>
      <c r="AYO567" s="8"/>
      <c r="AYP567" s="8"/>
      <c r="AYQ567" s="8"/>
      <c r="AYR567" s="8"/>
      <c r="AYS567" s="8"/>
      <c r="AYT567" s="8"/>
      <c r="AYU567" s="8"/>
      <c r="AYV567" s="8"/>
      <c r="AYW567" s="8"/>
      <c r="AYX567" s="8"/>
      <c r="AYY567" s="8"/>
      <c r="AYZ567" s="8"/>
      <c r="AZA567" s="8"/>
      <c r="AZB567" s="8"/>
      <c r="AZC567" s="8"/>
      <c r="AZD567" s="8"/>
      <c r="AZE567" s="8"/>
      <c r="AZF567" s="8"/>
      <c r="AZG567" s="8"/>
      <c r="AZH567" s="8"/>
      <c r="AZI567" s="8"/>
      <c r="AZJ567" s="8"/>
      <c r="AZK567" s="8"/>
      <c r="AZL567" s="8"/>
      <c r="AZM567" s="8"/>
      <c r="AZN567" s="8"/>
      <c r="AZO567" s="8"/>
      <c r="AZP567" s="8"/>
      <c r="AZQ567" s="8"/>
      <c r="AZR567" s="8"/>
      <c r="AZS567" s="8"/>
      <c r="AZT567" s="8"/>
      <c r="AZU567" s="8"/>
      <c r="AZV567" s="8"/>
      <c r="AZW567" s="8"/>
      <c r="AZX567" s="8"/>
      <c r="AZY567" s="8"/>
      <c r="AZZ567" s="8"/>
      <c r="BAA567" s="8"/>
      <c r="BAB567" s="8"/>
      <c r="BAC567" s="8"/>
      <c r="BAD567" s="8"/>
      <c r="BAE567" s="8"/>
      <c r="BAF567" s="8"/>
      <c r="BAG567" s="8"/>
      <c r="BAH567" s="8"/>
      <c r="BAI567" s="8"/>
      <c r="BAJ567" s="8"/>
      <c r="BAK567" s="8"/>
      <c r="BAL567" s="8"/>
      <c r="BAM567" s="8"/>
      <c r="BAN567" s="8"/>
      <c r="BAO567" s="8"/>
      <c r="BAP567" s="8"/>
      <c r="BAQ567" s="8"/>
      <c r="BAR567" s="8"/>
      <c r="BAS567" s="8"/>
      <c r="BAT567" s="8"/>
      <c r="BAU567" s="8"/>
      <c r="BAV567" s="8"/>
      <c r="BAW567" s="8"/>
      <c r="BAX567" s="8"/>
      <c r="BAY567" s="8"/>
      <c r="BAZ567" s="8"/>
      <c r="BBA567" s="8"/>
      <c r="BBB567" s="8"/>
      <c r="BBC567" s="8"/>
      <c r="BBD567" s="8"/>
      <c r="BBE567" s="8"/>
      <c r="BBF567" s="8"/>
      <c r="BBG567" s="8"/>
      <c r="BBH567" s="8"/>
      <c r="BBI567" s="8"/>
      <c r="BBJ567" s="8"/>
      <c r="BBK567" s="8"/>
      <c r="BBL567" s="8"/>
      <c r="BBM567" s="8"/>
      <c r="BBN567" s="8"/>
      <c r="BBO567" s="8"/>
      <c r="BBP567" s="8"/>
      <c r="BBQ567" s="8"/>
      <c r="BBR567" s="8"/>
      <c r="BBS567" s="8"/>
      <c r="BBT567" s="8"/>
      <c r="BBU567" s="8"/>
      <c r="BBV567" s="8"/>
      <c r="BBW567" s="8"/>
      <c r="BBX567" s="8"/>
      <c r="BBY567" s="8"/>
      <c r="BBZ567" s="8"/>
      <c r="BCA567" s="8"/>
      <c r="BCB567" s="8"/>
      <c r="BCC567" s="8"/>
      <c r="BCD567" s="8"/>
      <c r="BCE567" s="8"/>
      <c r="BCF567" s="8"/>
      <c r="BCG567" s="8"/>
      <c r="BCH567" s="8"/>
      <c r="BCI567" s="8"/>
      <c r="BCJ567" s="8"/>
      <c r="BCK567" s="8"/>
      <c r="BCL567" s="8"/>
      <c r="BCM567" s="8"/>
      <c r="BCN567" s="8"/>
      <c r="BCO567" s="8"/>
      <c r="BCP567" s="8"/>
      <c r="BCQ567" s="8"/>
      <c r="BCR567" s="8"/>
      <c r="BCS567" s="8"/>
      <c r="BCT567" s="8"/>
      <c r="BCU567" s="8"/>
      <c r="BCV567" s="8"/>
      <c r="BCW567" s="8"/>
      <c r="BCX567" s="8"/>
      <c r="BCY567" s="8"/>
      <c r="BCZ567" s="8"/>
      <c r="BDA567" s="8"/>
      <c r="BDB567" s="8"/>
      <c r="BDC567" s="8"/>
      <c r="BDD567" s="8"/>
      <c r="BDE567" s="8"/>
      <c r="BDF567" s="8"/>
      <c r="BDG567" s="8"/>
      <c r="BDH567" s="8"/>
      <c r="BDI567" s="8"/>
      <c r="BDJ567" s="8"/>
      <c r="BDK567" s="8"/>
      <c r="BDL567" s="8"/>
      <c r="BDM567" s="8"/>
      <c r="BDN567" s="8"/>
      <c r="BDO567" s="8"/>
      <c r="BDP567" s="8"/>
      <c r="BDQ567" s="8"/>
      <c r="BDR567" s="8"/>
      <c r="BDS567" s="8"/>
      <c r="BDT567" s="8"/>
      <c r="BDU567" s="8"/>
      <c r="BDV567" s="8"/>
      <c r="BDW567" s="8"/>
      <c r="BDX567" s="8"/>
      <c r="BDY567" s="8"/>
      <c r="BDZ567" s="8"/>
      <c r="BEA567" s="8"/>
      <c r="BEB567" s="8"/>
      <c r="BEC567" s="8"/>
      <c r="BED567" s="8"/>
      <c r="BEE567" s="8"/>
      <c r="BEF567" s="8"/>
      <c r="BEG567" s="8"/>
      <c r="BEH567" s="8"/>
      <c r="BEI567" s="8"/>
      <c r="BEJ567" s="8"/>
      <c r="BEK567" s="8"/>
      <c r="BEL567" s="8"/>
      <c r="BEM567" s="8"/>
      <c r="BEN567" s="8"/>
      <c r="BEO567" s="8"/>
      <c r="BEP567" s="8"/>
      <c r="BEQ567" s="8"/>
      <c r="BER567" s="8"/>
      <c r="BES567" s="8"/>
      <c r="BET567" s="8"/>
      <c r="BEU567" s="8"/>
      <c r="BEV567" s="8"/>
      <c r="BEW567" s="8"/>
      <c r="BEX567" s="8"/>
      <c r="BEY567" s="8"/>
      <c r="BEZ567" s="8"/>
      <c r="BFA567" s="8"/>
      <c r="BFB567" s="8"/>
      <c r="BFC567" s="8"/>
      <c r="BFD567" s="8"/>
      <c r="BFE567" s="8"/>
      <c r="BFF567" s="8"/>
      <c r="BFG567" s="8"/>
      <c r="BFH567" s="8"/>
      <c r="BFI567" s="8"/>
      <c r="BFJ567" s="8"/>
      <c r="BFK567" s="8"/>
      <c r="BFL567" s="8"/>
      <c r="BFM567" s="8"/>
      <c r="BFN567" s="8"/>
      <c r="BFO567" s="8"/>
      <c r="BFP567" s="8"/>
      <c r="BFQ567" s="8"/>
      <c r="BFR567" s="8"/>
      <c r="BFS567" s="8"/>
      <c r="BFT567" s="8"/>
      <c r="BFU567" s="8"/>
      <c r="BFV567" s="8"/>
      <c r="BFW567" s="8"/>
      <c r="BFX567" s="8"/>
      <c r="BFY567" s="8"/>
      <c r="BFZ567" s="8"/>
      <c r="BGA567" s="8"/>
      <c r="BGB567" s="8"/>
      <c r="BGC567" s="8"/>
      <c r="BGD567" s="8"/>
      <c r="BGE567" s="8"/>
      <c r="BGF567" s="8"/>
      <c r="BGG567" s="8"/>
      <c r="BGH567" s="8"/>
      <c r="BGI567" s="8"/>
      <c r="BGJ567" s="8"/>
      <c r="BGK567" s="8"/>
      <c r="BGL567" s="8"/>
      <c r="BGM567" s="8"/>
      <c r="BGN567" s="8"/>
      <c r="BGO567" s="8"/>
      <c r="BGP567" s="8"/>
      <c r="BGQ567" s="8"/>
      <c r="BGR567" s="8"/>
      <c r="BGS567" s="8"/>
      <c r="BGT567" s="8"/>
      <c r="BGU567" s="8"/>
      <c r="BGV567" s="8"/>
      <c r="BGW567" s="8"/>
      <c r="BGX567" s="8"/>
      <c r="BGY567" s="8"/>
      <c r="BGZ567" s="8"/>
      <c r="BHA567" s="8"/>
      <c r="BHB567" s="8"/>
      <c r="BHC567" s="8"/>
      <c r="BHD567" s="8"/>
      <c r="BHE567" s="8"/>
      <c r="BHF567" s="8"/>
      <c r="BHG567" s="8"/>
      <c r="BHH567" s="8"/>
      <c r="BHI567" s="8"/>
      <c r="BHJ567" s="8"/>
      <c r="BHK567" s="8"/>
      <c r="BHL567" s="8"/>
      <c r="BHM567" s="8"/>
      <c r="BHN567" s="8"/>
      <c r="BHO567" s="8"/>
      <c r="BHP567" s="8"/>
      <c r="BHQ567" s="8"/>
      <c r="BHR567" s="8"/>
      <c r="BHS567" s="8"/>
      <c r="BHT567" s="8"/>
      <c r="BHU567" s="8"/>
      <c r="BHV567" s="8"/>
      <c r="BHW567" s="8"/>
      <c r="BHX567" s="8"/>
      <c r="BHY567" s="8"/>
      <c r="BHZ567" s="8"/>
      <c r="BIA567" s="8"/>
      <c r="BIB567" s="8"/>
      <c r="BIC567" s="8"/>
      <c r="BID567" s="8"/>
      <c r="BIE567" s="8"/>
      <c r="BIF567" s="8"/>
      <c r="BIG567" s="8"/>
      <c r="BIH567" s="8"/>
      <c r="BII567" s="8"/>
      <c r="BIJ567" s="8"/>
      <c r="BIK567" s="8"/>
      <c r="BIL567" s="8"/>
      <c r="BIM567" s="8"/>
      <c r="BIN567" s="8"/>
      <c r="BIO567" s="8"/>
      <c r="BIP567" s="8"/>
      <c r="BIQ567" s="8"/>
      <c r="BIR567" s="8"/>
      <c r="BIS567" s="8"/>
      <c r="BIT567" s="8"/>
      <c r="BIU567" s="8"/>
      <c r="BIV567" s="8"/>
      <c r="BIW567" s="8"/>
      <c r="BIX567" s="8"/>
      <c r="BIY567" s="8"/>
      <c r="BIZ567" s="8"/>
      <c r="BJA567" s="8"/>
      <c r="BJB567" s="8"/>
      <c r="BJC567" s="8"/>
      <c r="BJD567" s="8"/>
      <c r="BJE567" s="8"/>
      <c r="BJF567" s="8"/>
      <c r="BJG567" s="8"/>
      <c r="BJH567" s="8"/>
      <c r="BJI567" s="8"/>
      <c r="BJJ567" s="8"/>
      <c r="BJK567" s="8"/>
      <c r="BJL567" s="8"/>
      <c r="BJM567" s="8"/>
      <c r="BJN567" s="8"/>
      <c r="BJO567" s="8"/>
      <c r="BJP567" s="8"/>
      <c r="BJQ567" s="8"/>
      <c r="BJR567" s="8"/>
      <c r="BJS567" s="8"/>
      <c r="BJT567" s="8"/>
      <c r="BJU567" s="8"/>
      <c r="BJV567" s="8"/>
      <c r="BJW567" s="8"/>
      <c r="BJX567" s="8"/>
      <c r="BJY567" s="8"/>
      <c r="BJZ567" s="8"/>
      <c r="BKA567" s="8"/>
      <c r="BKB567" s="8"/>
      <c r="BKC567" s="8"/>
      <c r="BKD567" s="8"/>
      <c r="BKE567" s="8"/>
      <c r="BKF567" s="8"/>
      <c r="BKG567" s="8"/>
      <c r="BKH567" s="8"/>
      <c r="BKI567" s="8"/>
      <c r="BKJ567" s="8"/>
      <c r="BKK567" s="8"/>
      <c r="BKL567" s="8"/>
      <c r="BKM567" s="8"/>
      <c r="BKN567" s="8"/>
      <c r="BKO567" s="8"/>
      <c r="BKP567" s="8"/>
      <c r="BKQ567" s="8"/>
      <c r="BKR567" s="8"/>
      <c r="BKS567" s="8"/>
      <c r="BKT567" s="8"/>
      <c r="BKU567" s="8"/>
      <c r="BKV567" s="8"/>
      <c r="BKW567" s="8"/>
      <c r="BKX567" s="8"/>
      <c r="BKY567" s="8"/>
      <c r="BKZ567" s="8"/>
      <c r="BLA567" s="8"/>
      <c r="BLB567" s="8"/>
      <c r="BLC567" s="8"/>
      <c r="BLD567" s="8"/>
      <c r="BLE567" s="8"/>
      <c r="BLF567" s="8"/>
      <c r="BLG567" s="8"/>
      <c r="BLH567" s="8"/>
      <c r="BLI567" s="8"/>
      <c r="BLJ567" s="8"/>
      <c r="BLK567" s="8"/>
      <c r="BLL567" s="8"/>
      <c r="BLM567" s="8"/>
      <c r="BLN567" s="8"/>
      <c r="BLO567" s="8"/>
      <c r="BLP567" s="8"/>
      <c r="BLQ567" s="8"/>
      <c r="BLR567" s="8"/>
      <c r="BLS567" s="8"/>
      <c r="BLT567" s="8"/>
      <c r="BLU567" s="8"/>
      <c r="BLV567" s="8"/>
      <c r="BLW567" s="8"/>
      <c r="BLX567" s="8"/>
      <c r="BLY567" s="8"/>
      <c r="BLZ567" s="8"/>
      <c r="BMA567" s="8"/>
      <c r="BMB567" s="8"/>
      <c r="BMC567" s="8"/>
      <c r="BMD567" s="8"/>
      <c r="BME567" s="8"/>
      <c r="BMF567" s="8"/>
      <c r="BMG567" s="8"/>
      <c r="BMH567" s="8"/>
      <c r="BMI567" s="8"/>
      <c r="BMJ567" s="8"/>
      <c r="BMK567" s="8"/>
      <c r="BML567" s="8"/>
      <c r="BMM567" s="8"/>
      <c r="BMN567" s="8"/>
      <c r="BMO567" s="8"/>
      <c r="BMP567" s="8"/>
      <c r="BMQ567" s="8"/>
      <c r="BMR567" s="8"/>
      <c r="BMS567" s="8"/>
      <c r="BMT567" s="8"/>
      <c r="BMU567" s="8"/>
      <c r="BMV567" s="8"/>
      <c r="BMW567" s="8"/>
      <c r="BMX567" s="8"/>
      <c r="BMY567" s="8"/>
      <c r="BMZ567" s="8"/>
      <c r="BNA567" s="8"/>
      <c r="BNB567" s="8"/>
      <c r="BNC567" s="8"/>
      <c r="BND567" s="8"/>
      <c r="BNE567" s="8"/>
      <c r="BNF567" s="8"/>
      <c r="BNG567" s="8"/>
      <c r="BNH567" s="8"/>
      <c r="BNI567" s="8"/>
      <c r="BNJ567" s="8"/>
      <c r="BNK567" s="8"/>
      <c r="BNL567" s="8"/>
      <c r="BNM567" s="8"/>
      <c r="BNN567" s="8"/>
      <c r="BNO567" s="8"/>
      <c r="BNP567" s="8"/>
      <c r="BNQ567" s="8"/>
      <c r="BNR567" s="8"/>
      <c r="BNS567" s="8"/>
      <c r="BNT567" s="8"/>
      <c r="BNU567" s="8"/>
      <c r="BNV567" s="8"/>
      <c r="BNW567" s="8"/>
      <c r="BNX567" s="8"/>
      <c r="BNY567" s="8"/>
      <c r="BNZ567" s="8"/>
      <c r="BOA567" s="8"/>
      <c r="BOB567" s="8"/>
      <c r="BOC567" s="8"/>
      <c r="BOD567" s="8"/>
      <c r="BOE567" s="8"/>
      <c r="BOF567" s="8"/>
      <c r="BOG567" s="8"/>
      <c r="BOH567" s="8"/>
      <c r="BOI567" s="8"/>
      <c r="BOJ567" s="8"/>
      <c r="BOK567" s="8"/>
      <c r="BOL567" s="8"/>
      <c r="BOM567" s="8"/>
      <c r="BON567" s="8"/>
      <c r="BOO567" s="8"/>
      <c r="BOP567" s="8"/>
      <c r="BOQ567" s="8"/>
      <c r="BOR567" s="8"/>
      <c r="BOS567" s="8"/>
      <c r="BOT567" s="8"/>
      <c r="BOU567" s="8"/>
      <c r="BOV567" s="8"/>
      <c r="BOW567" s="8"/>
      <c r="BOX567" s="8"/>
      <c r="BOY567" s="8"/>
      <c r="BOZ567" s="8"/>
      <c r="BPA567" s="8"/>
      <c r="BPB567" s="8"/>
      <c r="BPC567" s="8"/>
      <c r="BPD567" s="8"/>
      <c r="BPE567" s="8"/>
      <c r="BPF567" s="8"/>
      <c r="BPG567" s="8"/>
      <c r="BPH567" s="8"/>
      <c r="BPI567" s="8"/>
      <c r="BPJ567" s="8"/>
      <c r="BPK567" s="8"/>
      <c r="BPL567" s="8"/>
      <c r="BPM567" s="8"/>
      <c r="BPN567" s="8"/>
      <c r="BPO567" s="8"/>
      <c r="BPP567" s="8"/>
      <c r="BPQ567" s="8"/>
      <c r="BPR567" s="8"/>
      <c r="BPS567" s="8"/>
      <c r="BPT567" s="8"/>
      <c r="BPU567" s="8"/>
      <c r="BPV567" s="8"/>
      <c r="BPW567" s="8"/>
      <c r="BPX567" s="8"/>
      <c r="BPY567" s="8"/>
      <c r="BPZ567" s="8"/>
      <c r="BQA567" s="8"/>
      <c r="BQB567" s="8"/>
      <c r="BQC567" s="8"/>
      <c r="BQD567" s="8"/>
      <c r="BQE567" s="8"/>
      <c r="BQF567" s="8"/>
      <c r="BQG567" s="8"/>
      <c r="BQH567" s="8"/>
      <c r="BQI567" s="8"/>
      <c r="BQJ567" s="8"/>
      <c r="BQK567" s="8"/>
      <c r="BQL567" s="8"/>
      <c r="BQM567" s="8"/>
      <c r="BQN567" s="8"/>
      <c r="BQO567" s="8"/>
      <c r="BQP567" s="8"/>
      <c r="BQQ567" s="8"/>
      <c r="BQR567" s="8"/>
      <c r="BQS567" s="8"/>
      <c r="BQT567" s="8"/>
      <c r="BQU567" s="8"/>
      <c r="BQV567" s="8"/>
      <c r="BQW567" s="8"/>
      <c r="BQX567" s="8"/>
      <c r="BQY567" s="8"/>
      <c r="BQZ567" s="8"/>
      <c r="BRA567" s="8"/>
      <c r="BRB567" s="8"/>
      <c r="BRC567" s="8"/>
      <c r="BRD567" s="8"/>
      <c r="BRE567" s="8"/>
      <c r="BRF567" s="8"/>
      <c r="BRG567" s="8"/>
      <c r="BRH567" s="8"/>
      <c r="BRI567" s="8"/>
      <c r="BRJ567" s="8"/>
      <c r="BRK567" s="8"/>
      <c r="BRL567" s="8"/>
      <c r="BRM567" s="8"/>
      <c r="BRN567" s="8"/>
      <c r="BRO567" s="8"/>
      <c r="BRP567" s="8"/>
      <c r="BRQ567" s="8"/>
      <c r="BRR567" s="8"/>
      <c r="BRS567" s="8"/>
      <c r="BRT567" s="8"/>
      <c r="BRU567" s="8"/>
      <c r="BRV567" s="8"/>
      <c r="BRW567" s="8"/>
      <c r="BRX567" s="8"/>
      <c r="BRY567" s="8"/>
      <c r="BRZ567" s="8"/>
      <c r="BSA567" s="8"/>
      <c r="BSB567" s="8"/>
      <c r="BSC567" s="8"/>
      <c r="BSD567" s="8"/>
      <c r="BSE567" s="8"/>
      <c r="BSF567" s="8"/>
      <c r="BSG567" s="8"/>
      <c r="BSH567" s="8"/>
      <c r="BSI567" s="8"/>
      <c r="BSJ567" s="8"/>
      <c r="BSK567" s="8"/>
      <c r="BSL567" s="8"/>
      <c r="BSM567" s="8"/>
      <c r="BSN567" s="8"/>
      <c r="BSO567" s="8"/>
      <c r="BSP567" s="8"/>
      <c r="BSQ567" s="8"/>
      <c r="BSR567" s="8"/>
      <c r="BSS567" s="8"/>
      <c r="BST567" s="8"/>
      <c r="BSU567" s="8"/>
      <c r="BSV567" s="8"/>
      <c r="BSW567" s="8"/>
      <c r="BSX567" s="8"/>
      <c r="BSY567" s="8"/>
      <c r="BSZ567" s="8"/>
      <c r="BTA567" s="8"/>
      <c r="BTB567" s="8"/>
      <c r="BTC567" s="8"/>
      <c r="BTD567" s="8"/>
      <c r="BTE567" s="8"/>
      <c r="BTF567" s="8"/>
      <c r="BTG567" s="8"/>
      <c r="BTH567" s="8"/>
      <c r="BTI567" s="8"/>
      <c r="BTJ567" s="8"/>
      <c r="BTK567" s="8"/>
      <c r="BTL567" s="8"/>
      <c r="BTM567" s="8"/>
      <c r="BTN567" s="8"/>
      <c r="BTO567" s="8"/>
      <c r="BTP567" s="8"/>
      <c r="BTQ567" s="8"/>
      <c r="BTR567" s="8"/>
      <c r="BTS567" s="8"/>
      <c r="BTT567" s="8"/>
      <c r="BTU567" s="8"/>
      <c r="BTV567" s="8"/>
      <c r="BTW567" s="8"/>
      <c r="BTX567" s="8"/>
      <c r="BTY567" s="8"/>
      <c r="BTZ567" s="8"/>
      <c r="BUA567" s="8"/>
      <c r="BUB567" s="8"/>
      <c r="BUC567" s="8"/>
      <c r="BUD567" s="8"/>
      <c r="BUE567" s="8"/>
      <c r="BUF567" s="8"/>
      <c r="BUG567" s="8"/>
      <c r="BUH567" s="8"/>
      <c r="BUI567" s="8"/>
      <c r="BUJ567" s="8"/>
      <c r="BUK567" s="8"/>
      <c r="BUL567" s="8"/>
      <c r="BUM567" s="8"/>
      <c r="BUN567" s="8"/>
      <c r="BUO567" s="8"/>
      <c r="BUP567" s="8"/>
      <c r="BUQ567" s="8"/>
      <c r="BUR567" s="8"/>
      <c r="BUS567" s="8"/>
      <c r="BUT567" s="8"/>
      <c r="BUU567" s="8"/>
      <c r="BUV567" s="8"/>
      <c r="BUW567" s="8"/>
      <c r="BUX567" s="8"/>
      <c r="BUY567" s="8"/>
      <c r="BUZ567" s="8"/>
      <c r="BVA567" s="8"/>
      <c r="BVB567" s="8"/>
      <c r="BVC567" s="8"/>
      <c r="BVD567" s="8"/>
      <c r="BVE567" s="8"/>
      <c r="BVF567" s="8"/>
      <c r="BVG567" s="8"/>
      <c r="BVH567" s="8"/>
      <c r="BVI567" s="8"/>
      <c r="BVJ567" s="8"/>
      <c r="BVK567" s="8"/>
      <c r="BVL567" s="8"/>
      <c r="BVM567" s="8"/>
      <c r="BVN567" s="8"/>
      <c r="BVO567" s="8"/>
      <c r="BVP567" s="8"/>
      <c r="BVQ567" s="8"/>
      <c r="BVR567" s="8"/>
      <c r="BVS567" s="8"/>
      <c r="BVT567" s="8"/>
      <c r="BVU567" s="8"/>
      <c r="BVV567" s="8"/>
      <c r="BVW567" s="8"/>
      <c r="BVX567" s="8"/>
      <c r="BVY567" s="8"/>
      <c r="BVZ567" s="8"/>
      <c r="BWA567" s="8"/>
      <c r="BWB567" s="8"/>
      <c r="BWC567" s="8"/>
      <c r="BWD567" s="8"/>
      <c r="BWE567" s="8"/>
      <c r="BWF567" s="8"/>
      <c r="BWG567" s="8"/>
      <c r="BWH567" s="8"/>
      <c r="BWI567" s="8"/>
      <c r="BWJ567" s="8"/>
      <c r="BWK567" s="8"/>
      <c r="BWL567" s="8"/>
      <c r="BWM567" s="8"/>
      <c r="BWN567" s="8"/>
      <c r="BWO567" s="8"/>
      <c r="BWP567" s="8"/>
      <c r="BWQ567" s="8"/>
      <c r="BWR567" s="8"/>
      <c r="BWS567" s="8"/>
      <c r="BWT567" s="8"/>
      <c r="BWU567" s="8"/>
      <c r="BWV567" s="8"/>
      <c r="BWW567" s="8"/>
      <c r="BWX567" s="8"/>
      <c r="BWY567" s="8"/>
      <c r="BWZ567" s="8"/>
      <c r="BXA567" s="8"/>
      <c r="BXB567" s="8"/>
      <c r="BXC567" s="8"/>
      <c r="BXD567" s="8"/>
      <c r="BXE567" s="8"/>
      <c r="BXF567" s="8"/>
      <c r="BXG567" s="8"/>
      <c r="BXH567" s="8"/>
      <c r="BXI567" s="8"/>
      <c r="BXJ567" s="8"/>
      <c r="BXK567" s="8"/>
      <c r="BXL567" s="8"/>
      <c r="BXM567" s="8"/>
      <c r="BXN567" s="8"/>
      <c r="BXO567" s="8"/>
      <c r="BXP567" s="8"/>
      <c r="BXQ567" s="8"/>
      <c r="BXR567" s="8"/>
      <c r="BXS567" s="8"/>
      <c r="BXT567" s="8"/>
      <c r="BXU567" s="8"/>
      <c r="BXV567" s="8"/>
      <c r="BXW567" s="8"/>
      <c r="BXX567" s="8"/>
      <c r="BXY567" s="8"/>
      <c r="BXZ567" s="8"/>
      <c r="BYA567" s="8"/>
      <c r="BYB567" s="8"/>
      <c r="BYC567" s="8"/>
      <c r="BYD567" s="8"/>
      <c r="BYE567" s="8"/>
      <c r="BYF567" s="8"/>
      <c r="BYG567" s="8"/>
      <c r="BYH567" s="8"/>
      <c r="BYI567" s="8"/>
      <c r="BYJ567" s="8"/>
      <c r="BYK567" s="8"/>
      <c r="BYL567" s="8"/>
      <c r="BYM567" s="8"/>
      <c r="BYN567" s="8"/>
      <c r="BYO567" s="8"/>
      <c r="BYP567" s="8"/>
      <c r="BYQ567" s="8"/>
      <c r="BYR567" s="8"/>
      <c r="BYS567" s="8"/>
      <c r="BYT567" s="8"/>
      <c r="BYU567" s="8"/>
      <c r="BYV567" s="8"/>
      <c r="BYW567" s="8"/>
      <c r="BYX567" s="8"/>
      <c r="BYY567" s="8"/>
      <c r="BYZ567" s="8"/>
      <c r="BZA567" s="8"/>
      <c r="BZB567" s="8"/>
      <c r="BZC567" s="8"/>
      <c r="BZD567" s="8"/>
      <c r="BZE567" s="8"/>
      <c r="BZF567" s="8"/>
      <c r="BZG567" s="8"/>
      <c r="BZH567" s="8"/>
      <c r="BZI567" s="8"/>
      <c r="BZJ567" s="8"/>
      <c r="BZK567" s="8"/>
      <c r="BZL567" s="8"/>
      <c r="BZM567" s="8"/>
      <c r="BZN567" s="8"/>
      <c r="BZO567" s="8"/>
      <c r="BZP567" s="8"/>
      <c r="BZQ567" s="8"/>
      <c r="BZR567" s="8"/>
      <c r="BZS567" s="8"/>
      <c r="BZT567" s="8"/>
      <c r="BZU567" s="8"/>
      <c r="BZV567" s="8"/>
      <c r="BZW567" s="8"/>
      <c r="BZX567" s="8"/>
      <c r="BZY567" s="8"/>
      <c r="BZZ567" s="8"/>
      <c r="CAA567" s="8"/>
      <c r="CAB567" s="8"/>
      <c r="CAC567" s="8"/>
      <c r="CAD567" s="8"/>
      <c r="CAE567" s="8"/>
      <c r="CAF567" s="8"/>
      <c r="CAG567" s="8"/>
      <c r="CAH567" s="8"/>
      <c r="CAI567" s="8"/>
      <c r="CAJ567" s="8"/>
      <c r="CAK567" s="8"/>
      <c r="CAL567" s="8"/>
      <c r="CAM567" s="8"/>
      <c r="CAN567" s="8"/>
      <c r="CAO567" s="8"/>
      <c r="CAP567" s="8"/>
      <c r="CAQ567" s="8"/>
      <c r="CAR567" s="8"/>
      <c r="CAS567" s="8"/>
      <c r="CAT567" s="8"/>
      <c r="CAU567" s="8"/>
      <c r="CAV567" s="8"/>
      <c r="CAW567" s="8"/>
      <c r="CAX567" s="8"/>
      <c r="CAY567" s="8"/>
      <c r="CAZ567" s="8"/>
      <c r="CBA567" s="8"/>
      <c r="CBB567" s="8"/>
      <c r="CBC567" s="8"/>
      <c r="CBD567" s="8"/>
      <c r="CBE567" s="8"/>
      <c r="CBF567" s="8"/>
      <c r="CBG567" s="8"/>
      <c r="CBH567" s="8"/>
      <c r="CBI567" s="8"/>
      <c r="CBJ567" s="8"/>
      <c r="CBK567" s="8"/>
      <c r="CBL567" s="8"/>
      <c r="CBM567" s="8"/>
      <c r="CBN567" s="8"/>
      <c r="CBO567" s="8"/>
      <c r="CBP567" s="8"/>
      <c r="CBQ567" s="8"/>
      <c r="CBR567" s="8"/>
      <c r="CBS567" s="8"/>
      <c r="CBT567" s="8"/>
      <c r="CBU567" s="8"/>
      <c r="CBV567" s="8"/>
      <c r="CBW567" s="8"/>
      <c r="CBX567" s="8"/>
      <c r="CBY567" s="8"/>
      <c r="CBZ567" s="8"/>
      <c r="CCA567" s="8"/>
      <c r="CCB567" s="8"/>
      <c r="CCC567" s="8"/>
      <c r="CCD567" s="8"/>
      <c r="CCE567" s="8"/>
      <c r="CCF567" s="8"/>
      <c r="CCG567" s="8"/>
      <c r="CCH567" s="8"/>
      <c r="CCI567" s="8"/>
      <c r="CCJ567" s="8"/>
      <c r="CCK567" s="8"/>
      <c r="CCL567" s="8"/>
      <c r="CCM567" s="8"/>
      <c r="CCN567" s="8"/>
      <c r="CCO567" s="8"/>
      <c r="CCP567" s="8"/>
      <c r="CCQ567" s="8"/>
      <c r="CCR567" s="8"/>
      <c r="CCS567" s="8"/>
      <c r="CCT567" s="8"/>
      <c r="CCU567" s="8"/>
      <c r="CCV567" s="8"/>
      <c r="CCW567" s="8"/>
      <c r="CCX567" s="8"/>
      <c r="CCY567" s="8"/>
      <c r="CCZ567" s="8"/>
      <c r="CDA567" s="8"/>
      <c r="CDB567" s="8"/>
      <c r="CDC567" s="8"/>
      <c r="CDD567" s="8"/>
      <c r="CDE567" s="8"/>
      <c r="CDF567" s="8"/>
      <c r="CDG567" s="8"/>
      <c r="CDH567" s="8"/>
      <c r="CDI567" s="8"/>
      <c r="CDJ567" s="8"/>
      <c r="CDK567" s="8"/>
      <c r="CDL567" s="8"/>
      <c r="CDM567" s="8"/>
      <c r="CDN567" s="8"/>
      <c r="CDO567" s="8"/>
      <c r="CDP567" s="8"/>
      <c r="CDQ567" s="8"/>
      <c r="CDR567" s="8"/>
      <c r="CDS567" s="8"/>
      <c r="CDT567" s="8"/>
      <c r="CDU567" s="8"/>
      <c r="CDV567" s="8"/>
      <c r="CDW567" s="8"/>
      <c r="CDX567" s="8"/>
      <c r="CDY567" s="8"/>
      <c r="CDZ567" s="8"/>
      <c r="CEA567" s="8"/>
      <c r="CEB567" s="8"/>
      <c r="CEC567" s="8"/>
      <c r="CED567" s="8"/>
      <c r="CEE567" s="8"/>
      <c r="CEF567" s="8"/>
      <c r="CEG567" s="8"/>
      <c r="CEH567" s="8"/>
      <c r="CEI567" s="8"/>
      <c r="CEJ567" s="8"/>
      <c r="CEK567" s="8"/>
      <c r="CEL567" s="8"/>
      <c r="CEM567" s="8"/>
      <c r="CEN567" s="8"/>
      <c r="CEO567" s="8"/>
      <c r="CEP567" s="8"/>
      <c r="CEQ567" s="8"/>
      <c r="CER567" s="8"/>
      <c r="CES567" s="8"/>
      <c r="CET567" s="8"/>
      <c r="CEU567" s="8"/>
      <c r="CEV567" s="8"/>
      <c r="CEW567" s="8"/>
      <c r="CEX567" s="8"/>
      <c r="CEY567" s="8"/>
      <c r="CEZ567" s="8"/>
      <c r="CFA567" s="8"/>
      <c r="CFB567" s="8"/>
      <c r="CFC567" s="8"/>
      <c r="CFD567" s="8"/>
      <c r="CFE567" s="8"/>
      <c r="CFF567" s="8"/>
      <c r="CFG567" s="8"/>
      <c r="CFH567" s="8"/>
      <c r="CFI567" s="8"/>
      <c r="CFJ567" s="8"/>
      <c r="CFK567" s="8"/>
      <c r="CFL567" s="8"/>
      <c r="CFM567" s="8"/>
      <c r="CFN567" s="8"/>
      <c r="CFO567" s="8"/>
      <c r="CFP567" s="8"/>
      <c r="CFQ567" s="8"/>
      <c r="CFR567" s="8"/>
      <c r="CFS567" s="8"/>
      <c r="CFT567" s="8"/>
      <c r="CFU567" s="8"/>
      <c r="CFV567" s="8"/>
      <c r="CFW567" s="8"/>
      <c r="CFX567" s="8"/>
      <c r="CFY567" s="8"/>
      <c r="CFZ567" s="8"/>
      <c r="CGA567" s="8"/>
      <c r="CGB567" s="8"/>
      <c r="CGC567" s="8"/>
      <c r="CGD567" s="8"/>
      <c r="CGE567" s="8"/>
      <c r="CGF567" s="8"/>
      <c r="CGG567" s="8"/>
      <c r="CGH567" s="8"/>
      <c r="CGI567" s="8"/>
      <c r="CGJ567" s="8"/>
      <c r="CGK567" s="8"/>
      <c r="CGL567" s="8"/>
      <c r="CGM567" s="8"/>
      <c r="CGN567" s="8"/>
      <c r="CGO567" s="8"/>
      <c r="CGP567" s="8"/>
      <c r="CGQ567" s="8"/>
      <c r="CGR567" s="8"/>
      <c r="CGS567" s="8"/>
      <c r="CGT567" s="8"/>
      <c r="CGU567" s="8"/>
      <c r="CGV567" s="8"/>
      <c r="CGW567" s="8"/>
      <c r="CGX567" s="8"/>
      <c r="CGY567" s="8"/>
      <c r="CGZ567" s="8"/>
      <c r="CHA567" s="8"/>
      <c r="CHB567" s="8"/>
      <c r="CHC567" s="8"/>
      <c r="CHD567" s="8"/>
      <c r="CHE567" s="8"/>
      <c r="CHF567" s="8"/>
      <c r="CHG567" s="8"/>
      <c r="CHH567" s="8"/>
      <c r="CHI567" s="8"/>
      <c r="CHJ567" s="8"/>
      <c r="CHK567" s="8"/>
      <c r="CHL567" s="8"/>
      <c r="CHM567" s="8"/>
      <c r="CHN567" s="8"/>
      <c r="CHO567" s="8"/>
      <c r="CHP567" s="8"/>
      <c r="CHQ567" s="8"/>
      <c r="CHR567" s="8"/>
      <c r="CHS567" s="8"/>
      <c r="CHT567" s="8"/>
      <c r="CHU567" s="8"/>
      <c r="CHV567" s="8"/>
      <c r="CHW567" s="8"/>
      <c r="CHX567" s="8"/>
      <c r="CHY567" s="8"/>
      <c r="CHZ567" s="8"/>
      <c r="CIA567" s="8"/>
      <c r="CIB567" s="8"/>
      <c r="CIC567" s="8"/>
      <c r="CID567" s="8"/>
      <c r="CIE567" s="8"/>
      <c r="CIF567" s="8"/>
      <c r="CIG567" s="8"/>
      <c r="CIH567" s="8"/>
      <c r="CII567" s="8"/>
      <c r="CIJ567" s="8"/>
      <c r="CIK567" s="8"/>
      <c r="CIL567" s="8"/>
      <c r="CIM567" s="8"/>
      <c r="CIN567" s="8"/>
      <c r="CIO567" s="8"/>
      <c r="CIP567" s="8"/>
      <c r="CIQ567" s="8"/>
      <c r="CIR567" s="8"/>
      <c r="CIS567" s="8"/>
      <c r="CIT567" s="8"/>
      <c r="CIU567" s="8"/>
      <c r="CIV567" s="8"/>
      <c r="CIW567" s="8"/>
      <c r="CIX567" s="8"/>
      <c r="CIY567" s="8"/>
      <c r="CIZ567" s="8"/>
      <c r="CJA567" s="8"/>
      <c r="CJB567" s="8"/>
      <c r="CJC567" s="8"/>
      <c r="CJD567" s="8"/>
      <c r="CJE567" s="8"/>
      <c r="CJF567" s="8"/>
      <c r="CJG567" s="8"/>
      <c r="CJH567" s="8"/>
      <c r="CJI567" s="8"/>
      <c r="CJJ567" s="8"/>
      <c r="CJK567" s="8"/>
      <c r="CJL567" s="8"/>
      <c r="CJM567" s="8"/>
      <c r="CJN567" s="8"/>
      <c r="CJO567" s="8"/>
      <c r="CJP567" s="8"/>
      <c r="CJQ567" s="8"/>
      <c r="CJR567" s="8"/>
      <c r="CJS567" s="8"/>
      <c r="CJT567" s="8"/>
      <c r="CJU567" s="8"/>
      <c r="CJV567" s="8"/>
      <c r="CJW567" s="8"/>
      <c r="CJX567" s="8"/>
      <c r="CJY567" s="8"/>
      <c r="CJZ567" s="8"/>
      <c r="CKA567" s="8"/>
      <c r="CKB567" s="8"/>
      <c r="CKC567" s="8"/>
      <c r="CKD567" s="8"/>
      <c r="CKE567" s="8"/>
      <c r="CKF567" s="8"/>
      <c r="CKG567" s="8"/>
      <c r="CKH567" s="8"/>
      <c r="CKI567" s="8"/>
      <c r="CKJ567" s="8"/>
      <c r="CKK567" s="8"/>
      <c r="CKL567" s="8"/>
      <c r="CKM567" s="8"/>
      <c r="CKN567" s="8"/>
    </row>
    <row r="568" spans="1:2328" s="26" customFormat="1" ht="18.600000000000001" customHeight="1" x14ac:dyDescent="0.25">
      <c r="A568" s="60" t="s">
        <v>249</v>
      </c>
      <c r="B568" s="2" t="s">
        <v>315</v>
      </c>
      <c r="C568" s="3" t="s">
        <v>2503</v>
      </c>
      <c r="D568" s="12" t="s">
        <v>2054</v>
      </c>
      <c r="E568" s="12" t="s">
        <v>2053</v>
      </c>
      <c r="F568" s="12" t="s">
        <v>4057</v>
      </c>
      <c r="G568" s="25">
        <v>793311</v>
      </c>
      <c r="H568" s="25">
        <v>477353</v>
      </c>
      <c r="I568" s="25">
        <v>88102</v>
      </c>
      <c r="J568" s="25">
        <v>148295</v>
      </c>
      <c r="K568" s="25">
        <v>1090466</v>
      </c>
      <c r="L568" s="25">
        <v>2360219</v>
      </c>
      <c r="M568" s="25">
        <v>3450685</v>
      </c>
      <c r="N568" s="31">
        <v>0.32</v>
      </c>
      <c r="O568" s="25">
        <v>1447797</v>
      </c>
      <c r="P568" s="25">
        <v>1567388</v>
      </c>
      <c r="Q568" s="25">
        <v>57982</v>
      </c>
      <c r="R568" s="25">
        <v>3874</v>
      </c>
      <c r="S568" s="25">
        <v>9977</v>
      </c>
      <c r="T568" s="25">
        <v>2626</v>
      </c>
      <c r="U568" s="61">
        <v>5082</v>
      </c>
      <c r="V568" s="58">
        <v>1.1999999999999999E-3</v>
      </c>
      <c r="W568" s="33">
        <v>8.0000000000000004E-4</v>
      </c>
      <c r="X568" s="33">
        <v>1.2999999999999999E-3</v>
      </c>
      <c r="Y568" s="33">
        <v>1E-3</v>
      </c>
      <c r="Z568" s="33">
        <v>5.3E-3</v>
      </c>
      <c r="AA568" s="33">
        <v>1.9E-3</v>
      </c>
      <c r="AB568" s="25">
        <v>7687</v>
      </c>
      <c r="AC568" s="25">
        <v>3906</v>
      </c>
      <c r="AD568" s="25">
        <v>2279</v>
      </c>
      <c r="AE568" s="25">
        <v>49</v>
      </c>
      <c r="AF568" s="25">
        <v>376</v>
      </c>
      <c r="AG568" s="25">
        <v>1060</v>
      </c>
      <c r="AH568" s="25">
        <v>17</v>
      </c>
      <c r="AI568" s="12">
        <v>17.510000000000002</v>
      </c>
      <c r="AJ568" s="25">
        <v>111320</v>
      </c>
      <c r="AK568" s="25">
        <v>50731</v>
      </c>
      <c r="AL568" s="33">
        <v>0.83730000000000004</v>
      </c>
      <c r="AM568" s="3" t="s">
        <v>2503</v>
      </c>
      <c r="AN568" s="12" t="s">
        <v>2053</v>
      </c>
      <c r="AO568" s="12" t="s">
        <v>2053</v>
      </c>
      <c r="AP568" s="12" t="str">
        <f>"139411502915"</f>
        <v>139411502915</v>
      </c>
      <c r="AQ568" s="12" t="s">
        <v>2054</v>
      </c>
      <c r="AR568" s="12" t="s">
        <v>2055</v>
      </c>
      <c r="AS568" s="12" t="s">
        <v>4755</v>
      </c>
      <c r="AT568" s="12"/>
      <c r="AU568" s="12" t="s">
        <v>324</v>
      </c>
      <c r="AV568" s="12" t="s">
        <v>5731</v>
      </c>
      <c r="AW568" s="12"/>
      <c r="AX568" s="12">
        <v>6297</v>
      </c>
      <c r="AY568" s="12">
        <v>3019</v>
      </c>
      <c r="AZ568" s="12">
        <v>6297</v>
      </c>
      <c r="BA568" s="12" t="s">
        <v>2056</v>
      </c>
      <c r="BB568" s="12" t="s">
        <v>6561</v>
      </c>
      <c r="BC568" s="12" t="s">
        <v>6562</v>
      </c>
      <c r="BD568" s="12"/>
      <c r="BE568" s="12" t="s">
        <v>2291</v>
      </c>
      <c r="BF568" s="12"/>
      <c r="BG568" s="12"/>
      <c r="BH568" s="12"/>
      <c r="BI568" s="12"/>
      <c r="BJ568" s="12"/>
      <c r="BK568" s="12"/>
      <c r="BL568" s="12" t="s">
        <v>2292</v>
      </c>
      <c r="BM568" s="12" t="s">
        <v>2292</v>
      </c>
      <c r="BN568" s="12" t="s">
        <v>2292</v>
      </c>
      <c r="BO568" s="12" t="s">
        <v>2291</v>
      </c>
      <c r="BP568" s="12"/>
      <c r="BQ568" s="12"/>
      <c r="BR568" s="12"/>
      <c r="BS568" s="12"/>
      <c r="BT568" s="12" t="s">
        <v>2057</v>
      </c>
      <c r="BU568" s="12" t="s">
        <v>326</v>
      </c>
      <c r="BV568" s="12"/>
      <c r="BW568" s="12" t="s">
        <v>2058</v>
      </c>
      <c r="BX568" s="12"/>
      <c r="BY568" s="13" t="s">
        <v>313</v>
      </c>
      <c r="BZ568" s="13" t="s">
        <v>6171</v>
      </c>
      <c r="CA568" s="13"/>
      <c r="CB568" s="13"/>
      <c r="CC568" s="13"/>
      <c r="CD568" s="13"/>
      <c r="CE568" s="13"/>
      <c r="CF568" s="13"/>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c r="IW568" s="8"/>
      <c r="IX568" s="8"/>
      <c r="IY568" s="8"/>
      <c r="IZ568" s="8"/>
      <c r="JA568" s="8"/>
      <c r="JB568" s="8"/>
      <c r="JC568" s="8"/>
      <c r="JD568" s="8"/>
      <c r="JE568" s="8"/>
      <c r="JF568" s="8"/>
      <c r="JG568" s="8"/>
      <c r="JH568" s="8"/>
      <c r="JI568" s="8"/>
      <c r="JJ568" s="8"/>
      <c r="JK568" s="8"/>
      <c r="JL568" s="8"/>
      <c r="JM568" s="8"/>
      <c r="JN568" s="8"/>
      <c r="JO568" s="8"/>
      <c r="JP568" s="8"/>
      <c r="JQ568" s="8"/>
      <c r="JR568" s="8"/>
      <c r="JS568" s="8"/>
      <c r="JT568" s="8"/>
      <c r="JU568" s="8"/>
      <c r="JV568" s="8"/>
      <c r="JW568" s="8"/>
      <c r="JX568" s="8"/>
      <c r="JY568" s="8"/>
      <c r="JZ568" s="8"/>
      <c r="KA568" s="8"/>
      <c r="KB568" s="8"/>
      <c r="KC568" s="8"/>
      <c r="KD568" s="8"/>
      <c r="KE568" s="8"/>
      <c r="KF568" s="8"/>
      <c r="KG568" s="8"/>
      <c r="KH568" s="8"/>
      <c r="KI568" s="8"/>
      <c r="KJ568" s="8"/>
      <c r="KK568" s="8"/>
      <c r="KL568" s="8"/>
      <c r="KM568" s="8"/>
      <c r="KN568" s="8"/>
      <c r="KO568" s="8"/>
      <c r="KP568" s="8"/>
      <c r="KQ568" s="8"/>
      <c r="KR568" s="8"/>
      <c r="KS568" s="8"/>
      <c r="KT568" s="8"/>
      <c r="KU568" s="8"/>
      <c r="KV568" s="8"/>
      <c r="KW568" s="8"/>
      <c r="KX568" s="8"/>
      <c r="KY568" s="8"/>
      <c r="KZ568" s="8"/>
      <c r="LA568" s="8"/>
      <c r="LB568" s="8"/>
      <c r="LC568" s="8"/>
      <c r="LD568" s="8"/>
      <c r="LE568" s="8"/>
      <c r="LF568" s="8"/>
      <c r="LG568" s="8"/>
      <c r="LH568" s="8"/>
      <c r="LI568" s="8"/>
      <c r="LJ568" s="8"/>
      <c r="LK568" s="8"/>
      <c r="LL568" s="8"/>
      <c r="LM568" s="8"/>
      <c r="LN568" s="8"/>
      <c r="LO568" s="8"/>
      <c r="LP568" s="8"/>
      <c r="LQ568" s="8"/>
      <c r="LR568" s="8"/>
      <c r="LS568" s="8"/>
      <c r="LT568" s="8"/>
      <c r="LU568" s="8"/>
      <c r="LV568" s="8"/>
      <c r="LW568" s="8"/>
      <c r="LX568" s="8"/>
      <c r="LY568" s="8"/>
      <c r="LZ568" s="8"/>
      <c r="MA568" s="8"/>
      <c r="MB568" s="8"/>
      <c r="MC568" s="8"/>
      <c r="MD568" s="8"/>
      <c r="ME568" s="8"/>
      <c r="MF568" s="8"/>
      <c r="MG568" s="8"/>
      <c r="MH568" s="8"/>
      <c r="MI568" s="8"/>
      <c r="MJ568" s="8"/>
      <c r="MK568" s="8"/>
      <c r="ML568" s="8"/>
      <c r="MM568" s="8"/>
      <c r="MN568" s="8"/>
      <c r="MO568" s="8"/>
      <c r="MP568" s="8"/>
      <c r="MQ568" s="8"/>
      <c r="MR568" s="8"/>
      <c r="MS568" s="8"/>
      <c r="MT568" s="8"/>
      <c r="MU568" s="8"/>
      <c r="MV568" s="8"/>
      <c r="MW568" s="8"/>
      <c r="MX568" s="8"/>
      <c r="MY568" s="8"/>
      <c r="MZ568" s="8"/>
      <c r="NA568" s="8"/>
      <c r="NB568" s="8"/>
      <c r="NC568" s="8"/>
      <c r="ND568" s="8"/>
      <c r="NE568" s="8"/>
      <c r="NF568" s="8"/>
      <c r="NG568" s="8"/>
      <c r="NH568" s="8"/>
      <c r="NI568" s="8"/>
      <c r="NJ568" s="8"/>
      <c r="NK568" s="8"/>
      <c r="NL568" s="8"/>
      <c r="NM568" s="8"/>
      <c r="NN568" s="8"/>
      <c r="NO568" s="8"/>
      <c r="NP568" s="8"/>
      <c r="NQ568" s="8"/>
      <c r="NR568" s="8"/>
      <c r="NS568" s="8"/>
      <c r="NT568" s="8"/>
      <c r="NU568" s="8"/>
      <c r="NV568" s="8"/>
      <c r="NW568" s="8"/>
      <c r="NX568" s="8"/>
      <c r="NY568" s="8"/>
      <c r="NZ568" s="8"/>
      <c r="OA568" s="8"/>
      <c r="OB568" s="8"/>
      <c r="OC568" s="8"/>
      <c r="OD568" s="8"/>
      <c r="OE568" s="8"/>
      <c r="OF568" s="8"/>
      <c r="OG568" s="8"/>
      <c r="OH568" s="8"/>
      <c r="OI568" s="8"/>
      <c r="OJ568" s="8"/>
      <c r="OK568" s="8"/>
      <c r="OL568" s="8"/>
      <c r="OM568" s="8"/>
      <c r="ON568" s="8"/>
      <c r="OO568" s="8"/>
      <c r="OP568" s="8"/>
      <c r="OQ568" s="8"/>
      <c r="OR568" s="8"/>
      <c r="OS568" s="8"/>
      <c r="OT568" s="8"/>
      <c r="OU568" s="8"/>
      <c r="OV568" s="8"/>
      <c r="OW568" s="8"/>
      <c r="OX568" s="8"/>
      <c r="OY568" s="8"/>
      <c r="OZ568" s="8"/>
      <c r="PA568" s="8"/>
      <c r="PB568" s="8"/>
      <c r="PC568" s="8"/>
      <c r="PD568" s="8"/>
      <c r="PE568" s="8"/>
      <c r="PF568" s="8"/>
      <c r="PG568" s="8"/>
      <c r="PH568" s="8"/>
      <c r="PI568" s="8"/>
      <c r="PJ568" s="8"/>
      <c r="PK568" s="8"/>
      <c r="PL568" s="8"/>
      <c r="PM568" s="8"/>
      <c r="PN568" s="8"/>
      <c r="PO568" s="8"/>
      <c r="PP568" s="8"/>
      <c r="PQ568" s="8"/>
      <c r="PR568" s="8"/>
      <c r="PS568" s="8"/>
      <c r="PT568" s="8"/>
      <c r="PU568" s="8"/>
      <c r="PV568" s="8"/>
      <c r="PW568" s="8"/>
      <c r="PX568" s="8"/>
      <c r="PY568" s="8"/>
      <c r="PZ568" s="8"/>
      <c r="QA568" s="8"/>
      <c r="QB568" s="8"/>
      <c r="QC568" s="8"/>
      <c r="QD568" s="8"/>
      <c r="QE568" s="8"/>
      <c r="QF568" s="8"/>
      <c r="QG568" s="8"/>
      <c r="QH568" s="8"/>
      <c r="QI568" s="8"/>
      <c r="QJ568" s="8"/>
      <c r="QK568" s="8"/>
      <c r="QL568" s="8"/>
      <c r="QM568" s="8"/>
      <c r="QN568" s="8"/>
      <c r="QO568" s="8"/>
      <c r="QP568" s="8"/>
      <c r="QQ568" s="8"/>
      <c r="QR568" s="8"/>
      <c r="QS568" s="8"/>
      <c r="QT568" s="8"/>
      <c r="QU568" s="8"/>
      <c r="QV568" s="8"/>
      <c r="QW568" s="8"/>
      <c r="QX568" s="8"/>
      <c r="QY568" s="8"/>
      <c r="QZ568" s="8"/>
      <c r="RA568" s="8"/>
      <c r="RB568" s="8"/>
      <c r="RC568" s="8"/>
      <c r="RD568" s="8"/>
      <c r="RE568" s="8"/>
      <c r="RF568" s="8"/>
      <c r="RG568" s="8"/>
      <c r="RH568" s="8"/>
      <c r="RI568" s="8"/>
      <c r="RJ568" s="8"/>
      <c r="RK568" s="8"/>
      <c r="RL568" s="8"/>
      <c r="RM568" s="8"/>
      <c r="RN568" s="8"/>
      <c r="RO568" s="8"/>
      <c r="RP568" s="8"/>
      <c r="RQ568" s="8"/>
      <c r="RR568" s="8"/>
      <c r="RS568" s="8"/>
      <c r="RT568" s="8"/>
      <c r="RU568" s="8"/>
      <c r="RV568" s="8"/>
      <c r="RW568" s="8"/>
      <c r="RX568" s="8"/>
      <c r="RY568" s="8"/>
      <c r="RZ568" s="8"/>
      <c r="SA568" s="8"/>
      <c r="SB568" s="8"/>
      <c r="SC568" s="8"/>
      <c r="SD568" s="8"/>
      <c r="SE568" s="8"/>
      <c r="SF568" s="8"/>
      <c r="SG568" s="8"/>
      <c r="SH568" s="8"/>
      <c r="SI568" s="8"/>
      <c r="SJ568" s="8"/>
      <c r="SK568" s="8"/>
      <c r="SL568" s="8"/>
      <c r="SM568" s="8"/>
      <c r="SN568" s="8"/>
      <c r="SO568" s="8"/>
      <c r="SP568" s="8"/>
      <c r="SQ568" s="8"/>
      <c r="SR568" s="8"/>
      <c r="SS568" s="8"/>
      <c r="ST568" s="8"/>
      <c r="SU568" s="8"/>
      <c r="SV568" s="8"/>
      <c r="SW568" s="8"/>
      <c r="SX568" s="8"/>
      <c r="SY568" s="8"/>
      <c r="SZ568" s="8"/>
      <c r="TA568" s="8"/>
      <c r="TB568" s="8"/>
      <c r="TC568" s="8"/>
      <c r="TD568" s="8"/>
      <c r="TE568" s="8"/>
      <c r="TF568" s="8"/>
      <c r="TG568" s="8"/>
      <c r="TH568" s="8"/>
      <c r="TI568" s="8"/>
      <c r="TJ568" s="8"/>
      <c r="TK568" s="8"/>
      <c r="TL568" s="8"/>
      <c r="TM568" s="8"/>
      <c r="TN568" s="8"/>
      <c r="TO568" s="8"/>
      <c r="TP568" s="8"/>
      <c r="TQ568" s="8"/>
      <c r="TR568" s="8"/>
      <c r="TS568" s="8"/>
      <c r="TT568" s="8"/>
      <c r="TU568" s="8"/>
      <c r="TV568" s="8"/>
      <c r="TW568" s="8"/>
      <c r="TX568" s="8"/>
      <c r="TY568" s="8"/>
      <c r="TZ568" s="8"/>
      <c r="UA568" s="8"/>
      <c r="UB568" s="8"/>
      <c r="UC568" s="8"/>
      <c r="UD568" s="8"/>
      <c r="UE568" s="8"/>
      <c r="UF568" s="8"/>
      <c r="UG568" s="8"/>
      <c r="UH568" s="8"/>
      <c r="UI568" s="8"/>
      <c r="UJ568" s="8"/>
      <c r="UK568" s="8"/>
      <c r="UL568" s="8"/>
      <c r="UM568" s="8"/>
      <c r="UN568" s="8"/>
      <c r="UO568" s="8"/>
      <c r="UP568" s="8"/>
      <c r="UQ568" s="8"/>
      <c r="UR568" s="8"/>
      <c r="US568" s="8"/>
      <c r="UT568" s="8"/>
      <c r="UU568" s="8"/>
      <c r="UV568" s="8"/>
      <c r="UW568" s="8"/>
      <c r="UX568" s="8"/>
      <c r="UY568" s="8"/>
      <c r="UZ568" s="8"/>
      <c r="VA568" s="8"/>
      <c r="VB568" s="8"/>
      <c r="VC568" s="8"/>
      <c r="VD568" s="8"/>
      <c r="VE568" s="8"/>
      <c r="VF568" s="8"/>
      <c r="VG568" s="8"/>
      <c r="VH568" s="8"/>
      <c r="VI568" s="8"/>
      <c r="VJ568" s="8"/>
      <c r="VK568" s="8"/>
      <c r="VL568" s="8"/>
      <c r="VM568" s="8"/>
      <c r="VN568" s="8"/>
      <c r="VO568" s="8"/>
      <c r="VP568" s="8"/>
      <c r="VQ568" s="8"/>
      <c r="VR568" s="8"/>
      <c r="VS568" s="8"/>
      <c r="VT568" s="8"/>
      <c r="VU568" s="8"/>
      <c r="VV568" s="8"/>
      <c r="VW568" s="8"/>
      <c r="VX568" s="8"/>
      <c r="VY568" s="8"/>
      <c r="VZ568" s="8"/>
      <c r="WA568" s="8"/>
      <c r="WB568" s="8"/>
      <c r="WC568" s="8"/>
      <c r="WD568" s="8"/>
      <c r="WE568" s="8"/>
      <c r="WF568" s="8"/>
      <c r="WG568" s="8"/>
      <c r="WH568" s="8"/>
      <c r="WI568" s="8"/>
      <c r="WJ568" s="8"/>
      <c r="WK568" s="8"/>
      <c r="WL568" s="8"/>
      <c r="WM568" s="8"/>
      <c r="WN568" s="8"/>
      <c r="WO568" s="8"/>
      <c r="WP568" s="8"/>
      <c r="WQ568" s="8"/>
      <c r="WR568" s="8"/>
      <c r="WS568" s="8"/>
      <c r="WT568" s="8"/>
      <c r="WU568" s="8"/>
      <c r="WV568" s="8"/>
      <c r="WW568" s="8"/>
      <c r="WX568" s="8"/>
      <c r="WY568" s="8"/>
      <c r="WZ568" s="8"/>
      <c r="XA568" s="8"/>
      <c r="XB568" s="8"/>
      <c r="XC568" s="8"/>
      <c r="XD568" s="8"/>
      <c r="XE568" s="8"/>
      <c r="XF568" s="8"/>
      <c r="XG568" s="8"/>
      <c r="XH568" s="8"/>
      <c r="XI568" s="8"/>
      <c r="XJ568" s="8"/>
      <c r="XK568" s="8"/>
      <c r="XL568" s="8"/>
      <c r="XM568" s="8"/>
      <c r="XN568" s="8"/>
      <c r="XO568" s="8"/>
      <c r="XP568" s="8"/>
      <c r="XQ568" s="8"/>
      <c r="XR568" s="8"/>
      <c r="XS568" s="8"/>
      <c r="XT568" s="8"/>
      <c r="XU568" s="8"/>
      <c r="XV568" s="8"/>
      <c r="XW568" s="8"/>
      <c r="XX568" s="8"/>
      <c r="XY568" s="8"/>
      <c r="XZ568" s="8"/>
      <c r="YA568" s="8"/>
      <c r="YB568" s="8"/>
      <c r="YC568" s="8"/>
      <c r="YD568" s="8"/>
      <c r="YE568" s="8"/>
      <c r="YF568" s="8"/>
      <c r="YG568" s="8"/>
      <c r="YH568" s="8"/>
      <c r="YI568" s="8"/>
      <c r="YJ568" s="8"/>
      <c r="YK568" s="8"/>
      <c r="YL568" s="8"/>
      <c r="YM568" s="8"/>
      <c r="YN568" s="8"/>
      <c r="YO568" s="8"/>
      <c r="YP568" s="8"/>
      <c r="YQ568" s="8"/>
      <c r="YR568" s="8"/>
      <c r="YS568" s="8"/>
      <c r="YT568" s="8"/>
      <c r="YU568" s="8"/>
      <c r="YV568" s="8"/>
      <c r="YW568" s="8"/>
      <c r="YX568" s="8"/>
      <c r="YY568" s="8"/>
      <c r="YZ568" s="8"/>
      <c r="ZA568" s="8"/>
      <c r="ZB568" s="8"/>
      <c r="ZC568" s="8"/>
      <c r="ZD568" s="8"/>
      <c r="ZE568" s="8"/>
      <c r="ZF568" s="8"/>
      <c r="ZG568" s="8"/>
      <c r="ZH568" s="8"/>
      <c r="ZI568" s="8"/>
      <c r="ZJ568" s="8"/>
      <c r="ZK568" s="8"/>
      <c r="ZL568" s="8"/>
      <c r="ZM568" s="8"/>
      <c r="ZN568" s="8"/>
      <c r="ZO568" s="8"/>
      <c r="ZP568" s="8"/>
      <c r="ZQ568" s="8"/>
      <c r="ZR568" s="8"/>
      <c r="ZS568" s="8"/>
      <c r="ZT568" s="8"/>
      <c r="ZU568" s="8"/>
      <c r="ZV568" s="8"/>
      <c r="ZW568" s="8"/>
      <c r="ZX568" s="8"/>
      <c r="ZY568" s="8"/>
      <c r="ZZ568" s="8"/>
      <c r="AAA568" s="8"/>
      <c r="AAB568" s="8"/>
      <c r="AAC568" s="8"/>
      <c r="AAD568" s="8"/>
      <c r="AAE568" s="8"/>
      <c r="AAF568" s="8"/>
      <c r="AAG568" s="8"/>
      <c r="AAH568" s="8"/>
      <c r="AAI568" s="8"/>
      <c r="AAJ568" s="8"/>
      <c r="AAK568" s="8"/>
      <c r="AAL568" s="8"/>
      <c r="AAM568" s="8"/>
      <c r="AAN568" s="8"/>
      <c r="AAO568" s="8"/>
      <c r="AAP568" s="8"/>
      <c r="AAQ568" s="8"/>
      <c r="AAR568" s="8"/>
      <c r="AAS568" s="8"/>
      <c r="AAT568" s="8"/>
      <c r="AAU568" s="8"/>
      <c r="AAV568" s="8"/>
      <c r="AAW568" s="8"/>
      <c r="AAX568" s="8"/>
      <c r="AAY568" s="8"/>
      <c r="AAZ568" s="8"/>
      <c r="ABA568" s="8"/>
      <c r="ABB568" s="8"/>
      <c r="ABC568" s="8"/>
      <c r="ABD568" s="8"/>
      <c r="ABE568" s="8"/>
      <c r="ABF568" s="8"/>
      <c r="ABG568" s="8"/>
      <c r="ABH568" s="8"/>
      <c r="ABI568" s="8"/>
      <c r="ABJ568" s="8"/>
      <c r="ABK568" s="8"/>
      <c r="ABL568" s="8"/>
      <c r="ABM568" s="8"/>
      <c r="ABN568" s="8"/>
      <c r="ABO568" s="8"/>
      <c r="ABP568" s="8"/>
      <c r="ABQ568" s="8"/>
      <c r="ABR568" s="8"/>
      <c r="ABS568" s="8"/>
      <c r="ABT568" s="8"/>
      <c r="ABU568" s="8"/>
      <c r="ABV568" s="8"/>
      <c r="ABW568" s="8"/>
      <c r="ABX568" s="8"/>
      <c r="ABY568" s="8"/>
      <c r="ABZ568" s="8"/>
      <c r="ACA568" s="8"/>
      <c r="ACB568" s="8"/>
      <c r="ACC568" s="8"/>
      <c r="ACD568" s="8"/>
      <c r="ACE568" s="8"/>
      <c r="ACF568" s="8"/>
      <c r="ACG568" s="8"/>
      <c r="ACH568" s="8"/>
      <c r="ACI568" s="8"/>
      <c r="ACJ568" s="8"/>
      <c r="ACK568" s="8"/>
      <c r="ACL568" s="8"/>
      <c r="ACM568" s="8"/>
      <c r="ACN568" s="8"/>
      <c r="ACO568" s="8"/>
      <c r="ACP568" s="8"/>
      <c r="ACQ568" s="8"/>
      <c r="ACR568" s="8"/>
      <c r="ACS568" s="8"/>
      <c r="ACT568" s="8"/>
      <c r="ACU568" s="8"/>
      <c r="ACV568" s="8"/>
      <c r="ACW568" s="8"/>
      <c r="ACX568" s="8"/>
      <c r="ACY568" s="8"/>
      <c r="ACZ568" s="8"/>
      <c r="ADA568" s="8"/>
      <c r="ADB568" s="8"/>
      <c r="ADC568" s="8"/>
      <c r="ADD568" s="8"/>
      <c r="ADE568" s="8"/>
      <c r="ADF568" s="8"/>
      <c r="ADG568" s="8"/>
      <c r="ADH568" s="8"/>
      <c r="ADI568" s="8"/>
      <c r="ADJ568" s="8"/>
      <c r="ADK568" s="8"/>
      <c r="ADL568" s="8"/>
      <c r="ADM568" s="8"/>
      <c r="ADN568" s="8"/>
      <c r="ADO568" s="8"/>
      <c r="ADP568" s="8"/>
      <c r="ADQ568" s="8"/>
      <c r="ADR568" s="8"/>
      <c r="ADS568" s="8"/>
      <c r="ADT568" s="8"/>
      <c r="ADU568" s="8"/>
      <c r="ADV568" s="8"/>
      <c r="ADW568" s="8"/>
      <c r="ADX568" s="8"/>
      <c r="ADY568" s="8"/>
      <c r="ADZ568" s="8"/>
      <c r="AEA568" s="8"/>
      <c r="AEB568" s="8"/>
      <c r="AEC568" s="8"/>
      <c r="AED568" s="8"/>
      <c r="AEE568" s="8"/>
      <c r="AEF568" s="8"/>
      <c r="AEG568" s="8"/>
      <c r="AEH568" s="8"/>
      <c r="AEI568" s="8"/>
      <c r="AEJ568" s="8"/>
      <c r="AEK568" s="8"/>
      <c r="AEL568" s="8"/>
      <c r="AEM568" s="8"/>
      <c r="AEN568" s="8"/>
      <c r="AEO568" s="8"/>
      <c r="AEP568" s="8"/>
      <c r="AEQ568" s="8"/>
      <c r="AER568" s="8"/>
      <c r="AES568" s="8"/>
      <c r="AET568" s="8"/>
      <c r="AEU568" s="8"/>
      <c r="AEV568" s="8"/>
      <c r="AEW568" s="8"/>
      <c r="AEX568" s="8"/>
      <c r="AEY568" s="8"/>
      <c r="AEZ568" s="8"/>
      <c r="AFA568" s="8"/>
      <c r="AFB568" s="8"/>
      <c r="AFC568" s="8"/>
      <c r="AFD568" s="8"/>
      <c r="AFE568" s="8"/>
      <c r="AFF568" s="8"/>
      <c r="AFG568" s="8"/>
      <c r="AFH568" s="8"/>
      <c r="AFI568" s="8"/>
      <c r="AFJ568" s="8"/>
      <c r="AFK568" s="8"/>
      <c r="AFL568" s="8"/>
      <c r="AFM568" s="8"/>
      <c r="AFN568" s="8"/>
      <c r="AFO568" s="8"/>
      <c r="AFP568" s="8"/>
      <c r="AFQ568" s="8"/>
      <c r="AFR568" s="8"/>
      <c r="AFS568" s="8"/>
      <c r="AFT568" s="8"/>
      <c r="AFU568" s="8"/>
      <c r="AFV568" s="8"/>
      <c r="AFW568" s="8"/>
      <c r="AFX568" s="8"/>
      <c r="AFY568" s="8"/>
      <c r="AFZ568" s="8"/>
      <c r="AGA568" s="8"/>
      <c r="AGB568" s="8"/>
      <c r="AGC568" s="8"/>
      <c r="AGD568" s="8"/>
      <c r="AGE568" s="8"/>
      <c r="AGF568" s="8"/>
      <c r="AGG568" s="8"/>
      <c r="AGH568" s="8"/>
      <c r="AGI568" s="8"/>
      <c r="AGJ568" s="8"/>
      <c r="AGK568" s="8"/>
      <c r="AGL568" s="8"/>
      <c r="AGM568" s="8"/>
      <c r="AGN568" s="8"/>
      <c r="AGO568" s="8"/>
      <c r="AGP568" s="8"/>
      <c r="AGQ568" s="8"/>
      <c r="AGR568" s="8"/>
      <c r="AGS568" s="8"/>
      <c r="AGT568" s="8"/>
      <c r="AGU568" s="8"/>
      <c r="AGV568" s="8"/>
      <c r="AGW568" s="8"/>
      <c r="AGX568" s="8"/>
      <c r="AGY568" s="8"/>
      <c r="AGZ568" s="8"/>
      <c r="AHA568" s="8"/>
      <c r="AHB568" s="8"/>
      <c r="AHC568" s="8"/>
      <c r="AHD568" s="8"/>
      <c r="AHE568" s="8"/>
      <c r="AHF568" s="8"/>
      <c r="AHG568" s="8"/>
      <c r="AHH568" s="8"/>
      <c r="AHI568" s="8"/>
      <c r="AHJ568" s="8"/>
      <c r="AHK568" s="8"/>
      <c r="AHL568" s="8"/>
      <c r="AHM568" s="8"/>
      <c r="AHN568" s="8"/>
      <c r="AHO568" s="8"/>
      <c r="AHP568" s="8"/>
      <c r="AHQ568" s="8"/>
      <c r="AHR568" s="8"/>
      <c r="AHS568" s="8"/>
      <c r="AHT568" s="8"/>
      <c r="AHU568" s="8"/>
      <c r="AHV568" s="8"/>
      <c r="AHW568" s="8"/>
      <c r="AHX568" s="8"/>
      <c r="AHY568" s="8"/>
      <c r="AHZ568" s="8"/>
      <c r="AIA568" s="8"/>
      <c r="AIB568" s="8"/>
      <c r="AIC568" s="8"/>
      <c r="AID568" s="8"/>
      <c r="AIE568" s="8"/>
      <c r="AIF568" s="8"/>
      <c r="AIG568" s="8"/>
      <c r="AIH568" s="8"/>
      <c r="AII568" s="8"/>
      <c r="AIJ568" s="8"/>
      <c r="AIK568" s="8"/>
      <c r="AIL568" s="8"/>
      <c r="AIM568" s="8"/>
      <c r="AIN568" s="8"/>
      <c r="AIO568" s="8"/>
      <c r="AIP568" s="8"/>
      <c r="AIQ568" s="8"/>
      <c r="AIR568" s="8"/>
      <c r="AIS568" s="8"/>
      <c r="AIT568" s="8"/>
      <c r="AIU568" s="8"/>
      <c r="AIV568" s="8"/>
      <c r="AIW568" s="8"/>
      <c r="AIX568" s="8"/>
      <c r="AIY568" s="8"/>
      <c r="AIZ568" s="8"/>
      <c r="AJA568" s="8"/>
      <c r="AJB568" s="8"/>
      <c r="AJC568" s="8"/>
      <c r="AJD568" s="8"/>
      <c r="AJE568" s="8"/>
      <c r="AJF568" s="8"/>
      <c r="AJG568" s="8"/>
      <c r="AJH568" s="8"/>
      <c r="AJI568" s="8"/>
      <c r="AJJ568" s="8"/>
      <c r="AJK568" s="8"/>
      <c r="AJL568" s="8"/>
      <c r="AJM568" s="8"/>
      <c r="AJN568" s="8"/>
      <c r="AJO568" s="8"/>
      <c r="AJP568" s="8"/>
      <c r="AJQ568" s="8"/>
      <c r="AJR568" s="8"/>
      <c r="AJS568" s="8"/>
      <c r="AJT568" s="8"/>
      <c r="AJU568" s="8"/>
      <c r="AJV568" s="8"/>
      <c r="AJW568" s="8"/>
      <c r="AJX568" s="8"/>
      <c r="AJY568" s="8"/>
      <c r="AJZ568" s="8"/>
      <c r="AKA568" s="8"/>
      <c r="AKB568" s="8"/>
      <c r="AKC568" s="8"/>
      <c r="AKD568" s="8"/>
      <c r="AKE568" s="8"/>
      <c r="AKF568" s="8"/>
      <c r="AKG568" s="8"/>
      <c r="AKH568" s="8"/>
      <c r="AKI568" s="8"/>
      <c r="AKJ568" s="8"/>
      <c r="AKK568" s="8"/>
      <c r="AKL568" s="8"/>
      <c r="AKM568" s="8"/>
      <c r="AKN568" s="8"/>
      <c r="AKO568" s="8"/>
      <c r="AKP568" s="8"/>
      <c r="AKQ568" s="8"/>
      <c r="AKR568" s="8"/>
      <c r="AKS568" s="8"/>
      <c r="AKT568" s="8"/>
      <c r="AKU568" s="8"/>
      <c r="AKV568" s="8"/>
      <c r="AKW568" s="8"/>
      <c r="AKX568" s="8"/>
      <c r="AKY568" s="8"/>
      <c r="AKZ568" s="8"/>
      <c r="ALA568" s="8"/>
      <c r="ALB568" s="8"/>
      <c r="ALC568" s="8"/>
      <c r="ALD568" s="8"/>
      <c r="ALE568" s="8"/>
      <c r="ALF568" s="8"/>
      <c r="ALG568" s="8"/>
      <c r="ALH568" s="8"/>
      <c r="ALI568" s="8"/>
      <c r="ALJ568" s="8"/>
      <c r="ALK568" s="8"/>
      <c r="ALL568" s="8"/>
      <c r="ALM568" s="8"/>
      <c r="ALN568" s="8"/>
      <c r="ALO568" s="8"/>
      <c r="ALP568" s="8"/>
      <c r="ALQ568" s="8"/>
      <c r="ALR568" s="8"/>
      <c r="ALS568" s="8"/>
      <c r="ALT568" s="8"/>
      <c r="ALU568" s="8"/>
      <c r="ALV568" s="8"/>
      <c r="ALW568" s="8"/>
      <c r="ALX568" s="8"/>
      <c r="ALY568" s="8"/>
      <c r="ALZ568" s="8"/>
      <c r="AMA568" s="8"/>
      <c r="AMB568" s="8"/>
      <c r="AMC568" s="8"/>
      <c r="AMD568" s="8"/>
      <c r="AME568" s="8"/>
      <c r="AMF568" s="8"/>
      <c r="AMG568" s="8"/>
      <c r="AMH568" s="8"/>
      <c r="AMI568" s="8"/>
      <c r="AMJ568" s="8"/>
      <c r="AMK568" s="8"/>
      <c r="AML568" s="8"/>
      <c r="AMM568" s="8"/>
      <c r="AMN568" s="8"/>
      <c r="AMO568" s="8"/>
      <c r="AMP568" s="8"/>
      <c r="AMQ568" s="8"/>
      <c r="AMR568" s="8"/>
      <c r="AMS568" s="8"/>
      <c r="AMT568" s="8"/>
      <c r="AMU568" s="8"/>
      <c r="AMV568" s="8"/>
      <c r="AMW568" s="8"/>
      <c r="AMX568" s="8"/>
      <c r="AMY568" s="8"/>
      <c r="AMZ568" s="8"/>
      <c r="ANA568" s="8"/>
      <c r="ANB568" s="8"/>
      <c r="ANC568" s="8"/>
      <c r="AND568" s="8"/>
      <c r="ANE568" s="8"/>
      <c r="ANF568" s="8"/>
      <c r="ANG568" s="8"/>
      <c r="ANH568" s="8"/>
      <c r="ANI568" s="8"/>
      <c r="ANJ568" s="8"/>
      <c r="ANK568" s="8"/>
      <c r="ANL568" s="8"/>
      <c r="ANM568" s="8"/>
      <c r="ANN568" s="8"/>
      <c r="ANO568" s="8"/>
      <c r="ANP568" s="8"/>
      <c r="ANQ568" s="8"/>
      <c r="ANR568" s="8"/>
      <c r="ANS568" s="8"/>
      <c r="ANT568" s="8"/>
      <c r="ANU568" s="8"/>
      <c r="ANV568" s="8"/>
      <c r="ANW568" s="8"/>
      <c r="ANX568" s="8"/>
      <c r="ANY568" s="8"/>
      <c r="ANZ568" s="8"/>
      <c r="AOA568" s="8"/>
      <c r="AOB568" s="8"/>
      <c r="AOC568" s="8"/>
      <c r="AOD568" s="8"/>
      <c r="AOE568" s="8"/>
      <c r="AOF568" s="8"/>
      <c r="AOG568" s="8"/>
      <c r="AOH568" s="8"/>
      <c r="AOI568" s="8"/>
      <c r="AOJ568" s="8"/>
      <c r="AOK568" s="8"/>
      <c r="AOL568" s="8"/>
      <c r="AOM568" s="8"/>
      <c r="AON568" s="8"/>
      <c r="AOO568" s="8"/>
      <c r="AOP568" s="8"/>
      <c r="AOQ568" s="8"/>
      <c r="AOR568" s="8"/>
      <c r="AOS568" s="8"/>
      <c r="AOT568" s="8"/>
      <c r="AOU568" s="8"/>
      <c r="AOV568" s="8"/>
      <c r="AOW568" s="8"/>
      <c r="AOX568" s="8"/>
      <c r="AOY568" s="8"/>
      <c r="AOZ568" s="8"/>
      <c r="APA568" s="8"/>
      <c r="APB568" s="8"/>
      <c r="APC568" s="8"/>
      <c r="APD568" s="8"/>
      <c r="APE568" s="8"/>
      <c r="APF568" s="8"/>
      <c r="APG568" s="8"/>
      <c r="APH568" s="8"/>
      <c r="API568" s="8"/>
      <c r="APJ568" s="8"/>
      <c r="APK568" s="8"/>
      <c r="APL568" s="8"/>
      <c r="APM568" s="8"/>
      <c r="APN568" s="8"/>
      <c r="APO568" s="8"/>
      <c r="APP568" s="8"/>
      <c r="APQ568" s="8"/>
      <c r="APR568" s="8"/>
      <c r="APS568" s="8"/>
      <c r="APT568" s="8"/>
      <c r="APU568" s="8"/>
      <c r="APV568" s="8"/>
      <c r="APW568" s="8"/>
      <c r="APX568" s="8"/>
      <c r="APY568" s="8"/>
      <c r="APZ568" s="8"/>
      <c r="AQA568" s="8"/>
      <c r="AQB568" s="8"/>
      <c r="AQC568" s="8"/>
      <c r="AQD568" s="8"/>
      <c r="AQE568" s="8"/>
      <c r="AQF568" s="8"/>
      <c r="AQG568" s="8"/>
      <c r="AQH568" s="8"/>
      <c r="AQI568" s="8"/>
      <c r="AQJ568" s="8"/>
      <c r="AQK568" s="8"/>
      <c r="AQL568" s="8"/>
      <c r="AQM568" s="8"/>
      <c r="AQN568" s="8"/>
      <c r="AQO568" s="8"/>
      <c r="AQP568" s="8"/>
      <c r="AQQ568" s="8"/>
      <c r="AQR568" s="8"/>
      <c r="AQS568" s="8"/>
      <c r="AQT568" s="8"/>
      <c r="AQU568" s="8"/>
      <c r="AQV568" s="8"/>
      <c r="AQW568" s="8"/>
      <c r="AQX568" s="8"/>
      <c r="AQY568" s="8"/>
      <c r="AQZ568" s="8"/>
      <c r="ARA568" s="8"/>
      <c r="ARB568" s="8"/>
      <c r="ARC568" s="8"/>
      <c r="ARD568" s="8"/>
      <c r="ARE568" s="8"/>
      <c r="ARF568" s="8"/>
      <c r="ARG568" s="8"/>
      <c r="ARH568" s="8"/>
      <c r="ARI568" s="8"/>
      <c r="ARJ568" s="8"/>
      <c r="ARK568" s="8"/>
      <c r="ARL568" s="8"/>
      <c r="ARM568" s="8"/>
      <c r="ARN568" s="8"/>
      <c r="ARO568" s="8"/>
      <c r="ARP568" s="8"/>
      <c r="ARQ568" s="8"/>
      <c r="ARR568" s="8"/>
      <c r="ARS568" s="8"/>
      <c r="ART568" s="8"/>
      <c r="ARU568" s="8"/>
      <c r="ARV568" s="8"/>
      <c r="ARW568" s="8"/>
      <c r="ARX568" s="8"/>
      <c r="ARY568" s="8"/>
      <c r="ARZ568" s="8"/>
      <c r="ASA568" s="8"/>
      <c r="ASB568" s="8"/>
      <c r="ASC568" s="8"/>
      <c r="ASD568" s="8"/>
      <c r="ASE568" s="8"/>
      <c r="ASF568" s="8"/>
      <c r="ASG568" s="8"/>
      <c r="ASH568" s="8"/>
      <c r="ASI568" s="8"/>
      <c r="ASJ568" s="8"/>
      <c r="ASK568" s="8"/>
      <c r="ASL568" s="8"/>
      <c r="ASM568" s="8"/>
      <c r="ASN568" s="8"/>
      <c r="ASO568" s="8"/>
      <c r="ASP568" s="8"/>
      <c r="ASQ568" s="8"/>
      <c r="ASR568" s="8"/>
      <c r="ASS568" s="8"/>
      <c r="AST568" s="8"/>
      <c r="ASU568" s="8"/>
      <c r="ASV568" s="8"/>
      <c r="ASW568" s="8"/>
      <c r="ASX568" s="8"/>
      <c r="ASY568" s="8"/>
      <c r="ASZ568" s="8"/>
      <c r="ATA568" s="8"/>
      <c r="ATB568" s="8"/>
      <c r="ATC568" s="8"/>
      <c r="ATD568" s="8"/>
      <c r="ATE568" s="8"/>
      <c r="ATF568" s="8"/>
      <c r="ATG568" s="8"/>
      <c r="ATH568" s="8"/>
      <c r="ATI568" s="8"/>
      <c r="ATJ568" s="8"/>
      <c r="ATK568" s="8"/>
      <c r="ATL568" s="8"/>
      <c r="ATM568" s="8"/>
      <c r="ATN568" s="8"/>
      <c r="ATO568" s="8"/>
      <c r="ATP568" s="8"/>
      <c r="ATQ568" s="8"/>
      <c r="ATR568" s="8"/>
      <c r="ATS568" s="8"/>
      <c r="ATT568" s="8"/>
      <c r="ATU568" s="8"/>
      <c r="ATV568" s="8"/>
      <c r="ATW568" s="8"/>
      <c r="ATX568" s="8"/>
      <c r="ATY568" s="8"/>
      <c r="ATZ568" s="8"/>
      <c r="AUA568" s="8"/>
      <c r="AUB568" s="8"/>
      <c r="AUC568" s="8"/>
      <c r="AUD568" s="8"/>
      <c r="AUE568" s="8"/>
      <c r="AUF568" s="8"/>
      <c r="AUG568" s="8"/>
      <c r="AUH568" s="8"/>
      <c r="AUI568" s="8"/>
      <c r="AUJ568" s="8"/>
      <c r="AUK568" s="8"/>
      <c r="AUL568" s="8"/>
      <c r="AUM568" s="8"/>
      <c r="AUN568" s="8"/>
      <c r="AUO568" s="8"/>
      <c r="AUP568" s="8"/>
      <c r="AUQ568" s="8"/>
      <c r="AUR568" s="8"/>
      <c r="AUS568" s="8"/>
      <c r="AUT568" s="8"/>
      <c r="AUU568" s="8"/>
      <c r="AUV568" s="8"/>
      <c r="AUW568" s="8"/>
      <c r="AUX568" s="8"/>
      <c r="AUY568" s="8"/>
      <c r="AUZ568" s="8"/>
      <c r="AVA568" s="8"/>
      <c r="AVB568" s="8"/>
      <c r="AVC568" s="8"/>
      <c r="AVD568" s="8"/>
      <c r="AVE568" s="8"/>
      <c r="AVF568" s="8"/>
      <c r="AVG568" s="8"/>
      <c r="AVH568" s="8"/>
      <c r="AVI568" s="8"/>
      <c r="AVJ568" s="8"/>
      <c r="AVK568" s="8"/>
      <c r="AVL568" s="8"/>
      <c r="AVM568" s="8"/>
      <c r="AVN568" s="8"/>
      <c r="AVO568" s="8"/>
      <c r="AVP568" s="8"/>
      <c r="AVQ568" s="8"/>
      <c r="AVR568" s="8"/>
      <c r="AVS568" s="8"/>
      <c r="AVT568" s="8"/>
      <c r="AVU568" s="8"/>
      <c r="AVV568" s="8"/>
      <c r="AVW568" s="8"/>
      <c r="AVX568" s="8"/>
      <c r="AVY568" s="8"/>
      <c r="AVZ568" s="8"/>
      <c r="AWA568" s="8"/>
      <c r="AWB568" s="8"/>
      <c r="AWC568" s="8"/>
      <c r="AWD568" s="8"/>
      <c r="AWE568" s="8"/>
      <c r="AWF568" s="8"/>
      <c r="AWG568" s="8"/>
      <c r="AWH568" s="8"/>
      <c r="AWI568" s="8"/>
      <c r="AWJ568" s="8"/>
      <c r="AWK568" s="8"/>
      <c r="AWL568" s="8"/>
      <c r="AWM568" s="8"/>
      <c r="AWN568" s="8"/>
      <c r="AWO568" s="8"/>
      <c r="AWP568" s="8"/>
      <c r="AWQ568" s="8"/>
      <c r="AWR568" s="8"/>
      <c r="AWS568" s="8"/>
      <c r="AWT568" s="8"/>
      <c r="AWU568" s="8"/>
      <c r="AWV568" s="8"/>
      <c r="AWW568" s="8"/>
      <c r="AWX568" s="8"/>
      <c r="AWY568" s="8"/>
      <c r="AWZ568" s="8"/>
      <c r="AXA568" s="8"/>
      <c r="AXB568" s="8"/>
      <c r="AXC568" s="8"/>
      <c r="AXD568" s="8"/>
      <c r="AXE568" s="8"/>
      <c r="AXF568" s="8"/>
      <c r="AXG568" s="8"/>
      <c r="AXH568" s="8"/>
      <c r="AXI568" s="8"/>
      <c r="AXJ568" s="8"/>
      <c r="AXK568" s="8"/>
      <c r="AXL568" s="8"/>
      <c r="AXM568" s="8"/>
      <c r="AXN568" s="8"/>
      <c r="AXO568" s="8"/>
      <c r="AXP568" s="8"/>
      <c r="AXQ568" s="8"/>
      <c r="AXR568" s="8"/>
      <c r="AXS568" s="8"/>
      <c r="AXT568" s="8"/>
      <c r="AXU568" s="8"/>
      <c r="AXV568" s="8"/>
      <c r="AXW568" s="8"/>
      <c r="AXX568" s="8"/>
      <c r="AXY568" s="8"/>
      <c r="AXZ568" s="8"/>
      <c r="AYA568" s="8"/>
      <c r="AYB568" s="8"/>
      <c r="AYC568" s="8"/>
      <c r="AYD568" s="8"/>
      <c r="AYE568" s="8"/>
      <c r="AYF568" s="8"/>
      <c r="AYG568" s="8"/>
      <c r="AYH568" s="8"/>
      <c r="AYI568" s="8"/>
      <c r="AYJ568" s="8"/>
      <c r="AYK568" s="8"/>
      <c r="AYL568" s="8"/>
      <c r="AYM568" s="8"/>
      <c r="AYN568" s="8"/>
      <c r="AYO568" s="8"/>
      <c r="AYP568" s="8"/>
      <c r="AYQ568" s="8"/>
      <c r="AYR568" s="8"/>
      <c r="AYS568" s="8"/>
      <c r="AYT568" s="8"/>
      <c r="AYU568" s="8"/>
      <c r="AYV568" s="8"/>
      <c r="AYW568" s="8"/>
      <c r="AYX568" s="8"/>
      <c r="AYY568" s="8"/>
      <c r="AYZ568" s="8"/>
      <c r="AZA568" s="8"/>
      <c r="AZB568" s="8"/>
      <c r="AZC568" s="8"/>
      <c r="AZD568" s="8"/>
      <c r="AZE568" s="8"/>
      <c r="AZF568" s="8"/>
      <c r="AZG568" s="8"/>
      <c r="AZH568" s="8"/>
      <c r="AZI568" s="8"/>
      <c r="AZJ568" s="8"/>
      <c r="AZK568" s="8"/>
      <c r="AZL568" s="8"/>
      <c r="AZM568" s="8"/>
      <c r="AZN568" s="8"/>
      <c r="AZO568" s="8"/>
      <c r="AZP568" s="8"/>
      <c r="AZQ568" s="8"/>
      <c r="AZR568" s="8"/>
      <c r="AZS568" s="8"/>
      <c r="AZT568" s="8"/>
      <c r="AZU568" s="8"/>
      <c r="AZV568" s="8"/>
      <c r="AZW568" s="8"/>
      <c r="AZX568" s="8"/>
      <c r="AZY568" s="8"/>
      <c r="AZZ568" s="8"/>
      <c r="BAA568" s="8"/>
      <c r="BAB568" s="8"/>
      <c r="BAC568" s="8"/>
      <c r="BAD568" s="8"/>
      <c r="BAE568" s="8"/>
      <c r="BAF568" s="8"/>
      <c r="BAG568" s="8"/>
      <c r="BAH568" s="8"/>
      <c r="BAI568" s="8"/>
      <c r="BAJ568" s="8"/>
      <c r="BAK568" s="8"/>
      <c r="BAL568" s="8"/>
      <c r="BAM568" s="8"/>
      <c r="BAN568" s="8"/>
      <c r="BAO568" s="8"/>
      <c r="BAP568" s="8"/>
      <c r="BAQ568" s="8"/>
      <c r="BAR568" s="8"/>
      <c r="BAS568" s="8"/>
      <c r="BAT568" s="8"/>
      <c r="BAU568" s="8"/>
      <c r="BAV568" s="8"/>
      <c r="BAW568" s="8"/>
      <c r="BAX568" s="8"/>
      <c r="BAY568" s="8"/>
      <c r="BAZ568" s="8"/>
      <c r="BBA568" s="8"/>
      <c r="BBB568" s="8"/>
      <c r="BBC568" s="8"/>
      <c r="BBD568" s="8"/>
      <c r="BBE568" s="8"/>
      <c r="BBF568" s="8"/>
      <c r="BBG568" s="8"/>
      <c r="BBH568" s="8"/>
      <c r="BBI568" s="8"/>
      <c r="BBJ568" s="8"/>
      <c r="BBK568" s="8"/>
      <c r="BBL568" s="8"/>
      <c r="BBM568" s="8"/>
      <c r="BBN568" s="8"/>
      <c r="BBO568" s="8"/>
      <c r="BBP568" s="8"/>
      <c r="BBQ568" s="8"/>
      <c r="BBR568" s="8"/>
      <c r="BBS568" s="8"/>
      <c r="BBT568" s="8"/>
      <c r="BBU568" s="8"/>
      <c r="BBV568" s="8"/>
      <c r="BBW568" s="8"/>
      <c r="BBX568" s="8"/>
      <c r="BBY568" s="8"/>
      <c r="BBZ568" s="8"/>
      <c r="BCA568" s="8"/>
      <c r="BCB568" s="8"/>
      <c r="BCC568" s="8"/>
      <c r="BCD568" s="8"/>
      <c r="BCE568" s="8"/>
      <c r="BCF568" s="8"/>
      <c r="BCG568" s="8"/>
      <c r="BCH568" s="8"/>
      <c r="BCI568" s="8"/>
      <c r="BCJ568" s="8"/>
      <c r="BCK568" s="8"/>
      <c r="BCL568" s="8"/>
      <c r="BCM568" s="8"/>
      <c r="BCN568" s="8"/>
      <c r="BCO568" s="8"/>
      <c r="BCP568" s="8"/>
      <c r="BCQ568" s="8"/>
      <c r="BCR568" s="8"/>
      <c r="BCS568" s="8"/>
      <c r="BCT568" s="8"/>
      <c r="BCU568" s="8"/>
      <c r="BCV568" s="8"/>
      <c r="BCW568" s="8"/>
      <c r="BCX568" s="8"/>
      <c r="BCY568" s="8"/>
      <c r="BCZ568" s="8"/>
      <c r="BDA568" s="8"/>
      <c r="BDB568" s="8"/>
      <c r="BDC568" s="8"/>
      <c r="BDD568" s="8"/>
      <c r="BDE568" s="8"/>
      <c r="BDF568" s="8"/>
      <c r="BDG568" s="8"/>
      <c r="BDH568" s="8"/>
      <c r="BDI568" s="8"/>
      <c r="BDJ568" s="8"/>
      <c r="BDK568" s="8"/>
      <c r="BDL568" s="8"/>
      <c r="BDM568" s="8"/>
      <c r="BDN568" s="8"/>
      <c r="BDO568" s="8"/>
      <c r="BDP568" s="8"/>
      <c r="BDQ568" s="8"/>
      <c r="BDR568" s="8"/>
      <c r="BDS568" s="8"/>
      <c r="BDT568" s="8"/>
      <c r="BDU568" s="8"/>
      <c r="BDV568" s="8"/>
      <c r="BDW568" s="8"/>
      <c r="BDX568" s="8"/>
      <c r="BDY568" s="8"/>
      <c r="BDZ568" s="8"/>
      <c r="BEA568" s="8"/>
      <c r="BEB568" s="8"/>
      <c r="BEC568" s="8"/>
      <c r="BED568" s="8"/>
      <c r="BEE568" s="8"/>
      <c r="BEF568" s="8"/>
      <c r="BEG568" s="8"/>
      <c r="BEH568" s="8"/>
      <c r="BEI568" s="8"/>
      <c r="BEJ568" s="8"/>
      <c r="BEK568" s="8"/>
      <c r="BEL568" s="8"/>
      <c r="BEM568" s="8"/>
      <c r="BEN568" s="8"/>
      <c r="BEO568" s="8"/>
      <c r="BEP568" s="8"/>
      <c r="BEQ568" s="8"/>
      <c r="BER568" s="8"/>
      <c r="BES568" s="8"/>
      <c r="BET568" s="8"/>
      <c r="BEU568" s="8"/>
      <c r="BEV568" s="8"/>
      <c r="BEW568" s="8"/>
      <c r="BEX568" s="8"/>
      <c r="BEY568" s="8"/>
      <c r="BEZ568" s="8"/>
      <c r="BFA568" s="8"/>
      <c r="BFB568" s="8"/>
      <c r="BFC568" s="8"/>
      <c r="BFD568" s="8"/>
      <c r="BFE568" s="8"/>
      <c r="BFF568" s="8"/>
      <c r="BFG568" s="8"/>
      <c r="BFH568" s="8"/>
      <c r="BFI568" s="8"/>
      <c r="BFJ568" s="8"/>
      <c r="BFK568" s="8"/>
      <c r="BFL568" s="8"/>
      <c r="BFM568" s="8"/>
      <c r="BFN568" s="8"/>
      <c r="BFO568" s="8"/>
      <c r="BFP568" s="8"/>
      <c r="BFQ568" s="8"/>
      <c r="BFR568" s="8"/>
      <c r="BFS568" s="8"/>
      <c r="BFT568" s="8"/>
      <c r="BFU568" s="8"/>
      <c r="BFV568" s="8"/>
      <c r="BFW568" s="8"/>
      <c r="BFX568" s="8"/>
      <c r="BFY568" s="8"/>
      <c r="BFZ568" s="8"/>
      <c r="BGA568" s="8"/>
      <c r="BGB568" s="8"/>
      <c r="BGC568" s="8"/>
      <c r="BGD568" s="8"/>
      <c r="BGE568" s="8"/>
      <c r="BGF568" s="8"/>
      <c r="BGG568" s="8"/>
      <c r="BGH568" s="8"/>
      <c r="BGI568" s="8"/>
      <c r="BGJ568" s="8"/>
      <c r="BGK568" s="8"/>
      <c r="BGL568" s="8"/>
      <c r="BGM568" s="8"/>
      <c r="BGN568" s="8"/>
      <c r="BGO568" s="8"/>
      <c r="BGP568" s="8"/>
      <c r="BGQ568" s="8"/>
      <c r="BGR568" s="8"/>
      <c r="BGS568" s="8"/>
      <c r="BGT568" s="8"/>
      <c r="BGU568" s="8"/>
      <c r="BGV568" s="8"/>
      <c r="BGW568" s="8"/>
      <c r="BGX568" s="8"/>
      <c r="BGY568" s="8"/>
      <c r="BGZ568" s="8"/>
      <c r="BHA568" s="8"/>
      <c r="BHB568" s="8"/>
      <c r="BHC568" s="8"/>
      <c r="BHD568" s="8"/>
      <c r="BHE568" s="8"/>
      <c r="BHF568" s="8"/>
      <c r="BHG568" s="8"/>
      <c r="BHH568" s="8"/>
      <c r="BHI568" s="8"/>
      <c r="BHJ568" s="8"/>
      <c r="BHK568" s="8"/>
      <c r="BHL568" s="8"/>
      <c r="BHM568" s="8"/>
      <c r="BHN568" s="8"/>
      <c r="BHO568" s="8"/>
      <c r="BHP568" s="8"/>
      <c r="BHQ568" s="8"/>
      <c r="BHR568" s="8"/>
      <c r="BHS568" s="8"/>
      <c r="BHT568" s="8"/>
      <c r="BHU568" s="8"/>
      <c r="BHV568" s="8"/>
      <c r="BHW568" s="8"/>
      <c r="BHX568" s="8"/>
      <c r="BHY568" s="8"/>
      <c r="BHZ568" s="8"/>
      <c r="BIA568" s="8"/>
      <c r="BIB568" s="8"/>
      <c r="BIC568" s="8"/>
      <c r="BID568" s="8"/>
      <c r="BIE568" s="8"/>
      <c r="BIF568" s="8"/>
      <c r="BIG568" s="8"/>
      <c r="BIH568" s="8"/>
      <c r="BII568" s="8"/>
      <c r="BIJ568" s="8"/>
      <c r="BIK568" s="8"/>
      <c r="BIL568" s="8"/>
      <c r="BIM568" s="8"/>
      <c r="BIN568" s="8"/>
      <c r="BIO568" s="8"/>
      <c r="BIP568" s="8"/>
      <c r="BIQ568" s="8"/>
      <c r="BIR568" s="8"/>
      <c r="BIS568" s="8"/>
      <c r="BIT568" s="8"/>
      <c r="BIU568" s="8"/>
      <c r="BIV568" s="8"/>
      <c r="BIW568" s="8"/>
      <c r="BIX568" s="8"/>
      <c r="BIY568" s="8"/>
      <c r="BIZ568" s="8"/>
      <c r="BJA568" s="8"/>
      <c r="BJB568" s="8"/>
      <c r="BJC568" s="8"/>
      <c r="BJD568" s="8"/>
      <c r="BJE568" s="8"/>
      <c r="BJF568" s="8"/>
      <c r="BJG568" s="8"/>
      <c r="BJH568" s="8"/>
      <c r="BJI568" s="8"/>
      <c r="BJJ568" s="8"/>
      <c r="BJK568" s="8"/>
      <c r="BJL568" s="8"/>
      <c r="BJM568" s="8"/>
      <c r="BJN568" s="8"/>
      <c r="BJO568" s="8"/>
      <c r="BJP568" s="8"/>
      <c r="BJQ568" s="8"/>
      <c r="BJR568" s="8"/>
      <c r="BJS568" s="8"/>
      <c r="BJT568" s="8"/>
      <c r="BJU568" s="8"/>
      <c r="BJV568" s="8"/>
      <c r="BJW568" s="8"/>
      <c r="BJX568" s="8"/>
      <c r="BJY568" s="8"/>
      <c r="BJZ568" s="8"/>
      <c r="BKA568" s="8"/>
      <c r="BKB568" s="8"/>
      <c r="BKC568" s="8"/>
      <c r="BKD568" s="8"/>
      <c r="BKE568" s="8"/>
      <c r="BKF568" s="8"/>
      <c r="BKG568" s="8"/>
      <c r="BKH568" s="8"/>
      <c r="BKI568" s="8"/>
      <c r="BKJ568" s="8"/>
      <c r="BKK568" s="8"/>
      <c r="BKL568" s="8"/>
      <c r="BKM568" s="8"/>
      <c r="BKN568" s="8"/>
      <c r="BKO568" s="8"/>
      <c r="BKP568" s="8"/>
      <c r="BKQ568" s="8"/>
      <c r="BKR568" s="8"/>
      <c r="BKS568" s="8"/>
      <c r="BKT568" s="8"/>
      <c r="BKU568" s="8"/>
      <c r="BKV568" s="8"/>
      <c r="BKW568" s="8"/>
      <c r="BKX568" s="8"/>
      <c r="BKY568" s="8"/>
      <c r="BKZ568" s="8"/>
      <c r="BLA568" s="8"/>
      <c r="BLB568" s="8"/>
      <c r="BLC568" s="8"/>
      <c r="BLD568" s="8"/>
      <c r="BLE568" s="8"/>
      <c r="BLF568" s="8"/>
      <c r="BLG568" s="8"/>
      <c r="BLH568" s="8"/>
      <c r="BLI568" s="8"/>
      <c r="BLJ568" s="8"/>
      <c r="BLK568" s="8"/>
      <c r="BLL568" s="8"/>
      <c r="BLM568" s="8"/>
      <c r="BLN568" s="8"/>
      <c r="BLO568" s="8"/>
      <c r="BLP568" s="8"/>
      <c r="BLQ568" s="8"/>
      <c r="BLR568" s="8"/>
      <c r="BLS568" s="8"/>
      <c r="BLT568" s="8"/>
      <c r="BLU568" s="8"/>
      <c r="BLV568" s="8"/>
      <c r="BLW568" s="8"/>
      <c r="BLX568" s="8"/>
      <c r="BLY568" s="8"/>
      <c r="BLZ568" s="8"/>
      <c r="BMA568" s="8"/>
      <c r="BMB568" s="8"/>
      <c r="BMC568" s="8"/>
      <c r="BMD568" s="8"/>
      <c r="BME568" s="8"/>
      <c r="BMF568" s="8"/>
      <c r="BMG568" s="8"/>
      <c r="BMH568" s="8"/>
      <c r="BMI568" s="8"/>
      <c r="BMJ568" s="8"/>
      <c r="BMK568" s="8"/>
      <c r="BML568" s="8"/>
      <c r="BMM568" s="8"/>
      <c r="BMN568" s="8"/>
      <c r="BMO568" s="8"/>
      <c r="BMP568" s="8"/>
      <c r="BMQ568" s="8"/>
      <c r="BMR568" s="8"/>
      <c r="BMS568" s="8"/>
      <c r="BMT568" s="8"/>
      <c r="BMU568" s="8"/>
      <c r="BMV568" s="8"/>
      <c r="BMW568" s="8"/>
      <c r="BMX568" s="8"/>
      <c r="BMY568" s="8"/>
      <c r="BMZ568" s="8"/>
      <c r="BNA568" s="8"/>
      <c r="BNB568" s="8"/>
      <c r="BNC568" s="8"/>
      <c r="BND568" s="8"/>
      <c r="BNE568" s="8"/>
      <c r="BNF568" s="8"/>
      <c r="BNG568" s="8"/>
      <c r="BNH568" s="8"/>
      <c r="BNI568" s="8"/>
      <c r="BNJ568" s="8"/>
      <c r="BNK568" s="8"/>
      <c r="BNL568" s="8"/>
      <c r="BNM568" s="8"/>
      <c r="BNN568" s="8"/>
      <c r="BNO568" s="8"/>
      <c r="BNP568" s="8"/>
      <c r="BNQ568" s="8"/>
      <c r="BNR568" s="8"/>
      <c r="BNS568" s="8"/>
      <c r="BNT568" s="8"/>
      <c r="BNU568" s="8"/>
      <c r="BNV568" s="8"/>
      <c r="BNW568" s="8"/>
      <c r="BNX568" s="8"/>
      <c r="BNY568" s="8"/>
      <c r="BNZ568" s="8"/>
      <c r="BOA568" s="8"/>
      <c r="BOB568" s="8"/>
      <c r="BOC568" s="8"/>
      <c r="BOD568" s="8"/>
      <c r="BOE568" s="8"/>
      <c r="BOF568" s="8"/>
      <c r="BOG568" s="8"/>
      <c r="BOH568" s="8"/>
      <c r="BOI568" s="8"/>
      <c r="BOJ568" s="8"/>
      <c r="BOK568" s="8"/>
      <c r="BOL568" s="8"/>
      <c r="BOM568" s="8"/>
      <c r="BON568" s="8"/>
      <c r="BOO568" s="8"/>
      <c r="BOP568" s="8"/>
      <c r="BOQ568" s="8"/>
      <c r="BOR568" s="8"/>
      <c r="BOS568" s="8"/>
      <c r="BOT568" s="8"/>
      <c r="BOU568" s="8"/>
      <c r="BOV568" s="8"/>
      <c r="BOW568" s="8"/>
      <c r="BOX568" s="8"/>
      <c r="BOY568" s="8"/>
      <c r="BOZ568" s="8"/>
      <c r="BPA568" s="8"/>
      <c r="BPB568" s="8"/>
      <c r="BPC568" s="8"/>
      <c r="BPD568" s="8"/>
      <c r="BPE568" s="8"/>
      <c r="BPF568" s="8"/>
      <c r="BPG568" s="8"/>
      <c r="BPH568" s="8"/>
      <c r="BPI568" s="8"/>
      <c r="BPJ568" s="8"/>
      <c r="BPK568" s="8"/>
      <c r="BPL568" s="8"/>
      <c r="BPM568" s="8"/>
      <c r="BPN568" s="8"/>
      <c r="BPO568" s="8"/>
      <c r="BPP568" s="8"/>
      <c r="BPQ568" s="8"/>
      <c r="BPR568" s="8"/>
      <c r="BPS568" s="8"/>
      <c r="BPT568" s="8"/>
      <c r="BPU568" s="8"/>
      <c r="BPV568" s="8"/>
      <c r="BPW568" s="8"/>
      <c r="BPX568" s="8"/>
      <c r="BPY568" s="8"/>
      <c r="BPZ568" s="8"/>
      <c r="BQA568" s="8"/>
      <c r="BQB568" s="8"/>
      <c r="BQC568" s="8"/>
      <c r="BQD568" s="8"/>
      <c r="BQE568" s="8"/>
      <c r="BQF568" s="8"/>
      <c r="BQG568" s="8"/>
      <c r="BQH568" s="8"/>
      <c r="BQI568" s="8"/>
      <c r="BQJ568" s="8"/>
      <c r="BQK568" s="8"/>
      <c r="BQL568" s="8"/>
      <c r="BQM568" s="8"/>
      <c r="BQN568" s="8"/>
      <c r="BQO568" s="8"/>
      <c r="BQP568" s="8"/>
      <c r="BQQ568" s="8"/>
      <c r="BQR568" s="8"/>
      <c r="BQS568" s="8"/>
      <c r="BQT568" s="8"/>
      <c r="BQU568" s="8"/>
      <c r="BQV568" s="8"/>
      <c r="BQW568" s="8"/>
      <c r="BQX568" s="8"/>
      <c r="BQY568" s="8"/>
      <c r="BQZ568" s="8"/>
      <c r="BRA568" s="8"/>
      <c r="BRB568" s="8"/>
      <c r="BRC568" s="8"/>
      <c r="BRD568" s="8"/>
      <c r="BRE568" s="8"/>
      <c r="BRF568" s="8"/>
      <c r="BRG568" s="8"/>
      <c r="BRH568" s="8"/>
      <c r="BRI568" s="8"/>
      <c r="BRJ568" s="8"/>
      <c r="BRK568" s="8"/>
      <c r="BRL568" s="8"/>
      <c r="BRM568" s="8"/>
      <c r="BRN568" s="8"/>
      <c r="BRO568" s="8"/>
      <c r="BRP568" s="8"/>
      <c r="BRQ568" s="8"/>
      <c r="BRR568" s="8"/>
      <c r="BRS568" s="8"/>
      <c r="BRT568" s="8"/>
      <c r="BRU568" s="8"/>
      <c r="BRV568" s="8"/>
      <c r="BRW568" s="8"/>
      <c r="BRX568" s="8"/>
      <c r="BRY568" s="8"/>
      <c r="BRZ568" s="8"/>
      <c r="BSA568" s="8"/>
      <c r="BSB568" s="8"/>
      <c r="BSC568" s="8"/>
      <c r="BSD568" s="8"/>
      <c r="BSE568" s="8"/>
      <c r="BSF568" s="8"/>
      <c r="BSG568" s="8"/>
      <c r="BSH568" s="8"/>
      <c r="BSI568" s="8"/>
      <c r="BSJ568" s="8"/>
      <c r="BSK568" s="8"/>
      <c r="BSL568" s="8"/>
      <c r="BSM568" s="8"/>
      <c r="BSN568" s="8"/>
      <c r="BSO568" s="8"/>
      <c r="BSP568" s="8"/>
      <c r="BSQ568" s="8"/>
      <c r="BSR568" s="8"/>
      <c r="BSS568" s="8"/>
      <c r="BST568" s="8"/>
      <c r="BSU568" s="8"/>
      <c r="BSV568" s="8"/>
      <c r="BSW568" s="8"/>
      <c r="BSX568" s="8"/>
      <c r="BSY568" s="8"/>
      <c r="BSZ568" s="8"/>
      <c r="BTA568" s="8"/>
      <c r="BTB568" s="8"/>
      <c r="BTC568" s="8"/>
      <c r="BTD568" s="8"/>
      <c r="BTE568" s="8"/>
      <c r="BTF568" s="8"/>
      <c r="BTG568" s="8"/>
      <c r="BTH568" s="8"/>
      <c r="BTI568" s="8"/>
      <c r="BTJ568" s="8"/>
      <c r="BTK568" s="8"/>
      <c r="BTL568" s="8"/>
      <c r="BTM568" s="8"/>
      <c r="BTN568" s="8"/>
      <c r="BTO568" s="8"/>
      <c r="BTP568" s="8"/>
      <c r="BTQ568" s="8"/>
      <c r="BTR568" s="8"/>
      <c r="BTS568" s="8"/>
      <c r="BTT568" s="8"/>
      <c r="BTU568" s="8"/>
      <c r="BTV568" s="8"/>
      <c r="BTW568" s="8"/>
      <c r="BTX568" s="8"/>
      <c r="BTY568" s="8"/>
      <c r="BTZ568" s="8"/>
      <c r="BUA568" s="8"/>
      <c r="BUB568" s="8"/>
      <c r="BUC568" s="8"/>
      <c r="BUD568" s="8"/>
      <c r="BUE568" s="8"/>
      <c r="BUF568" s="8"/>
      <c r="BUG568" s="8"/>
      <c r="BUH568" s="8"/>
      <c r="BUI568" s="8"/>
      <c r="BUJ568" s="8"/>
      <c r="BUK568" s="8"/>
      <c r="BUL568" s="8"/>
      <c r="BUM568" s="8"/>
      <c r="BUN568" s="8"/>
      <c r="BUO568" s="8"/>
      <c r="BUP568" s="8"/>
      <c r="BUQ568" s="8"/>
      <c r="BUR568" s="8"/>
      <c r="BUS568" s="8"/>
      <c r="BUT568" s="8"/>
      <c r="BUU568" s="8"/>
      <c r="BUV568" s="8"/>
      <c r="BUW568" s="8"/>
      <c r="BUX568" s="8"/>
      <c r="BUY568" s="8"/>
      <c r="BUZ568" s="8"/>
      <c r="BVA568" s="8"/>
      <c r="BVB568" s="8"/>
      <c r="BVC568" s="8"/>
      <c r="BVD568" s="8"/>
      <c r="BVE568" s="8"/>
      <c r="BVF568" s="8"/>
      <c r="BVG568" s="8"/>
      <c r="BVH568" s="8"/>
      <c r="BVI568" s="8"/>
      <c r="BVJ568" s="8"/>
      <c r="BVK568" s="8"/>
      <c r="BVL568" s="8"/>
      <c r="BVM568" s="8"/>
      <c r="BVN568" s="8"/>
      <c r="BVO568" s="8"/>
      <c r="BVP568" s="8"/>
      <c r="BVQ568" s="8"/>
      <c r="BVR568" s="8"/>
      <c r="BVS568" s="8"/>
      <c r="BVT568" s="8"/>
      <c r="BVU568" s="8"/>
      <c r="BVV568" s="8"/>
      <c r="BVW568" s="8"/>
      <c r="BVX568" s="8"/>
      <c r="BVY568" s="8"/>
      <c r="BVZ568" s="8"/>
      <c r="BWA568" s="8"/>
      <c r="BWB568" s="8"/>
      <c r="BWC568" s="8"/>
      <c r="BWD568" s="8"/>
      <c r="BWE568" s="8"/>
      <c r="BWF568" s="8"/>
      <c r="BWG568" s="8"/>
      <c r="BWH568" s="8"/>
      <c r="BWI568" s="8"/>
      <c r="BWJ568" s="8"/>
      <c r="BWK568" s="8"/>
      <c r="BWL568" s="8"/>
      <c r="BWM568" s="8"/>
      <c r="BWN568" s="8"/>
      <c r="BWO568" s="8"/>
      <c r="BWP568" s="8"/>
      <c r="BWQ568" s="8"/>
      <c r="BWR568" s="8"/>
      <c r="BWS568" s="8"/>
      <c r="BWT568" s="8"/>
      <c r="BWU568" s="8"/>
      <c r="BWV568" s="8"/>
      <c r="BWW568" s="8"/>
      <c r="BWX568" s="8"/>
      <c r="BWY568" s="8"/>
      <c r="BWZ568" s="8"/>
      <c r="BXA568" s="8"/>
      <c r="BXB568" s="8"/>
      <c r="BXC568" s="8"/>
      <c r="BXD568" s="8"/>
      <c r="BXE568" s="8"/>
      <c r="BXF568" s="8"/>
      <c r="BXG568" s="8"/>
      <c r="BXH568" s="8"/>
      <c r="BXI568" s="8"/>
      <c r="BXJ568" s="8"/>
      <c r="BXK568" s="8"/>
      <c r="BXL568" s="8"/>
      <c r="BXM568" s="8"/>
      <c r="BXN568" s="8"/>
      <c r="BXO568" s="8"/>
      <c r="BXP568" s="8"/>
      <c r="BXQ568" s="8"/>
      <c r="BXR568" s="8"/>
      <c r="BXS568" s="8"/>
      <c r="BXT568" s="8"/>
      <c r="BXU568" s="8"/>
      <c r="BXV568" s="8"/>
      <c r="BXW568" s="8"/>
      <c r="BXX568" s="8"/>
      <c r="BXY568" s="8"/>
      <c r="BXZ568" s="8"/>
      <c r="BYA568" s="8"/>
      <c r="BYB568" s="8"/>
      <c r="BYC568" s="8"/>
      <c r="BYD568" s="8"/>
      <c r="BYE568" s="8"/>
      <c r="BYF568" s="8"/>
      <c r="BYG568" s="8"/>
      <c r="BYH568" s="8"/>
      <c r="BYI568" s="8"/>
      <c r="BYJ568" s="8"/>
      <c r="BYK568" s="8"/>
      <c r="BYL568" s="8"/>
      <c r="BYM568" s="8"/>
      <c r="BYN568" s="8"/>
      <c r="BYO568" s="8"/>
      <c r="BYP568" s="8"/>
      <c r="BYQ568" s="8"/>
      <c r="BYR568" s="8"/>
      <c r="BYS568" s="8"/>
      <c r="BYT568" s="8"/>
      <c r="BYU568" s="8"/>
      <c r="BYV568" s="8"/>
      <c r="BYW568" s="8"/>
      <c r="BYX568" s="8"/>
      <c r="BYY568" s="8"/>
      <c r="BYZ568" s="8"/>
      <c r="BZA568" s="8"/>
      <c r="BZB568" s="8"/>
      <c r="BZC568" s="8"/>
      <c r="BZD568" s="8"/>
      <c r="BZE568" s="8"/>
      <c r="BZF568" s="8"/>
      <c r="BZG568" s="8"/>
      <c r="BZH568" s="8"/>
      <c r="BZI568" s="8"/>
      <c r="BZJ568" s="8"/>
      <c r="BZK568" s="8"/>
      <c r="BZL568" s="8"/>
      <c r="BZM568" s="8"/>
      <c r="BZN568" s="8"/>
      <c r="BZO568" s="8"/>
      <c r="BZP568" s="8"/>
      <c r="BZQ568" s="8"/>
      <c r="BZR568" s="8"/>
      <c r="BZS568" s="8"/>
      <c r="BZT568" s="8"/>
      <c r="BZU568" s="8"/>
      <c r="BZV568" s="8"/>
      <c r="BZW568" s="8"/>
      <c r="BZX568" s="8"/>
      <c r="BZY568" s="8"/>
      <c r="BZZ568" s="8"/>
      <c r="CAA568" s="8"/>
      <c r="CAB568" s="8"/>
      <c r="CAC568" s="8"/>
      <c r="CAD568" s="8"/>
      <c r="CAE568" s="8"/>
      <c r="CAF568" s="8"/>
      <c r="CAG568" s="8"/>
      <c r="CAH568" s="8"/>
      <c r="CAI568" s="8"/>
      <c r="CAJ568" s="8"/>
      <c r="CAK568" s="8"/>
      <c r="CAL568" s="8"/>
      <c r="CAM568" s="8"/>
      <c r="CAN568" s="8"/>
      <c r="CAO568" s="8"/>
      <c r="CAP568" s="8"/>
      <c r="CAQ568" s="8"/>
      <c r="CAR568" s="8"/>
      <c r="CAS568" s="8"/>
      <c r="CAT568" s="8"/>
      <c r="CAU568" s="8"/>
      <c r="CAV568" s="8"/>
      <c r="CAW568" s="8"/>
      <c r="CAX568" s="8"/>
      <c r="CAY568" s="8"/>
      <c r="CAZ568" s="8"/>
      <c r="CBA568" s="8"/>
      <c r="CBB568" s="8"/>
      <c r="CBC568" s="8"/>
      <c r="CBD568" s="8"/>
      <c r="CBE568" s="8"/>
      <c r="CBF568" s="8"/>
      <c r="CBG568" s="8"/>
      <c r="CBH568" s="8"/>
      <c r="CBI568" s="8"/>
      <c r="CBJ568" s="8"/>
      <c r="CBK568" s="8"/>
      <c r="CBL568" s="8"/>
      <c r="CBM568" s="8"/>
      <c r="CBN568" s="8"/>
      <c r="CBO568" s="8"/>
      <c r="CBP568" s="8"/>
      <c r="CBQ568" s="8"/>
      <c r="CBR568" s="8"/>
      <c r="CBS568" s="8"/>
      <c r="CBT568" s="8"/>
      <c r="CBU568" s="8"/>
      <c r="CBV568" s="8"/>
      <c r="CBW568" s="8"/>
      <c r="CBX568" s="8"/>
      <c r="CBY568" s="8"/>
      <c r="CBZ568" s="8"/>
      <c r="CCA568" s="8"/>
      <c r="CCB568" s="8"/>
      <c r="CCC568" s="8"/>
      <c r="CCD568" s="8"/>
      <c r="CCE568" s="8"/>
      <c r="CCF568" s="8"/>
      <c r="CCG568" s="8"/>
      <c r="CCH568" s="8"/>
      <c r="CCI568" s="8"/>
      <c r="CCJ568" s="8"/>
      <c r="CCK568" s="8"/>
      <c r="CCL568" s="8"/>
      <c r="CCM568" s="8"/>
      <c r="CCN568" s="8"/>
      <c r="CCO568" s="8"/>
      <c r="CCP568" s="8"/>
      <c r="CCQ568" s="8"/>
      <c r="CCR568" s="8"/>
      <c r="CCS568" s="8"/>
      <c r="CCT568" s="8"/>
      <c r="CCU568" s="8"/>
      <c r="CCV568" s="8"/>
      <c r="CCW568" s="8"/>
      <c r="CCX568" s="8"/>
      <c r="CCY568" s="8"/>
      <c r="CCZ568" s="8"/>
      <c r="CDA568" s="8"/>
      <c r="CDB568" s="8"/>
      <c r="CDC568" s="8"/>
      <c r="CDD568" s="8"/>
      <c r="CDE568" s="8"/>
      <c r="CDF568" s="8"/>
      <c r="CDG568" s="8"/>
      <c r="CDH568" s="8"/>
      <c r="CDI568" s="8"/>
      <c r="CDJ568" s="8"/>
      <c r="CDK568" s="8"/>
      <c r="CDL568" s="8"/>
      <c r="CDM568" s="8"/>
      <c r="CDN568" s="8"/>
      <c r="CDO568" s="8"/>
      <c r="CDP568" s="8"/>
      <c r="CDQ568" s="8"/>
      <c r="CDR568" s="8"/>
      <c r="CDS568" s="8"/>
      <c r="CDT568" s="8"/>
      <c r="CDU568" s="8"/>
      <c r="CDV568" s="8"/>
      <c r="CDW568" s="8"/>
      <c r="CDX568" s="8"/>
      <c r="CDY568" s="8"/>
      <c r="CDZ568" s="8"/>
      <c r="CEA568" s="8"/>
      <c r="CEB568" s="8"/>
      <c r="CEC568" s="8"/>
      <c r="CED568" s="8"/>
      <c r="CEE568" s="8"/>
      <c r="CEF568" s="8"/>
      <c r="CEG568" s="8"/>
      <c r="CEH568" s="8"/>
      <c r="CEI568" s="8"/>
      <c r="CEJ568" s="8"/>
      <c r="CEK568" s="8"/>
      <c r="CEL568" s="8"/>
      <c r="CEM568" s="8"/>
      <c r="CEN568" s="8"/>
      <c r="CEO568" s="8"/>
      <c r="CEP568" s="8"/>
      <c r="CEQ568" s="8"/>
      <c r="CER568" s="8"/>
      <c r="CES568" s="8"/>
      <c r="CET568" s="8"/>
      <c r="CEU568" s="8"/>
      <c r="CEV568" s="8"/>
      <c r="CEW568" s="8"/>
      <c r="CEX568" s="8"/>
      <c r="CEY568" s="8"/>
      <c r="CEZ568" s="8"/>
      <c r="CFA568" s="8"/>
      <c r="CFB568" s="8"/>
      <c r="CFC568" s="8"/>
      <c r="CFD568" s="8"/>
      <c r="CFE568" s="8"/>
      <c r="CFF568" s="8"/>
      <c r="CFG568" s="8"/>
      <c r="CFH568" s="8"/>
      <c r="CFI568" s="8"/>
      <c r="CFJ568" s="8"/>
      <c r="CFK568" s="8"/>
      <c r="CFL568" s="8"/>
      <c r="CFM568" s="8"/>
      <c r="CFN568" s="8"/>
      <c r="CFO568" s="8"/>
      <c r="CFP568" s="8"/>
      <c r="CFQ568" s="8"/>
      <c r="CFR568" s="8"/>
      <c r="CFS568" s="8"/>
      <c r="CFT568" s="8"/>
      <c r="CFU568" s="8"/>
      <c r="CFV568" s="8"/>
      <c r="CFW568" s="8"/>
      <c r="CFX568" s="8"/>
      <c r="CFY568" s="8"/>
      <c r="CFZ568" s="8"/>
      <c r="CGA568" s="8"/>
      <c r="CGB568" s="8"/>
      <c r="CGC568" s="8"/>
      <c r="CGD568" s="8"/>
      <c r="CGE568" s="8"/>
      <c r="CGF568" s="8"/>
      <c r="CGG568" s="8"/>
      <c r="CGH568" s="8"/>
      <c r="CGI568" s="8"/>
      <c r="CGJ568" s="8"/>
      <c r="CGK568" s="8"/>
      <c r="CGL568" s="8"/>
      <c r="CGM568" s="8"/>
      <c r="CGN568" s="8"/>
      <c r="CGO568" s="8"/>
      <c r="CGP568" s="8"/>
      <c r="CGQ568" s="8"/>
      <c r="CGR568" s="8"/>
      <c r="CGS568" s="8"/>
      <c r="CGT568" s="8"/>
      <c r="CGU568" s="8"/>
      <c r="CGV568" s="8"/>
      <c r="CGW568" s="8"/>
      <c r="CGX568" s="8"/>
      <c r="CGY568" s="8"/>
      <c r="CGZ568" s="8"/>
      <c r="CHA568" s="8"/>
      <c r="CHB568" s="8"/>
      <c r="CHC568" s="8"/>
      <c r="CHD568" s="8"/>
      <c r="CHE568" s="8"/>
      <c r="CHF568" s="8"/>
      <c r="CHG568" s="8"/>
      <c r="CHH568" s="8"/>
      <c r="CHI568" s="8"/>
      <c r="CHJ568" s="8"/>
      <c r="CHK568" s="8"/>
      <c r="CHL568" s="8"/>
      <c r="CHM568" s="8"/>
      <c r="CHN568" s="8"/>
      <c r="CHO568" s="8"/>
      <c r="CHP568" s="8"/>
      <c r="CHQ568" s="8"/>
      <c r="CHR568" s="8"/>
      <c r="CHS568" s="8"/>
      <c r="CHT568" s="8"/>
      <c r="CHU568" s="8"/>
      <c r="CHV568" s="8"/>
      <c r="CHW568" s="8"/>
      <c r="CHX568" s="8"/>
      <c r="CHY568" s="8"/>
      <c r="CHZ568" s="8"/>
      <c r="CIA568" s="8"/>
      <c r="CIB568" s="8"/>
      <c r="CIC568" s="8"/>
      <c r="CID568" s="8"/>
      <c r="CIE568" s="8"/>
      <c r="CIF568" s="8"/>
      <c r="CIG568" s="8"/>
      <c r="CIH568" s="8"/>
      <c r="CII568" s="8"/>
      <c r="CIJ568" s="8"/>
      <c r="CIK568" s="8"/>
      <c r="CIL568" s="8"/>
      <c r="CIM568" s="8"/>
      <c r="CIN568" s="8"/>
      <c r="CIO568" s="8"/>
      <c r="CIP568" s="8"/>
      <c r="CIQ568" s="8"/>
      <c r="CIR568" s="8"/>
      <c r="CIS568" s="8"/>
      <c r="CIT568" s="8"/>
      <c r="CIU568" s="8"/>
      <c r="CIV568" s="8"/>
      <c r="CIW568" s="8"/>
      <c r="CIX568" s="8"/>
      <c r="CIY568" s="8"/>
      <c r="CIZ568" s="8"/>
      <c r="CJA568" s="8"/>
      <c r="CJB568" s="8"/>
      <c r="CJC568" s="8"/>
      <c r="CJD568" s="8"/>
      <c r="CJE568" s="8"/>
      <c r="CJF568" s="8"/>
      <c r="CJG568" s="8"/>
      <c r="CJH568" s="8"/>
      <c r="CJI568" s="8"/>
      <c r="CJJ568" s="8"/>
      <c r="CJK568" s="8"/>
      <c r="CJL568" s="8"/>
      <c r="CJM568" s="8"/>
      <c r="CJN568" s="8"/>
      <c r="CJO568" s="8"/>
      <c r="CJP568" s="8"/>
      <c r="CJQ568" s="8"/>
      <c r="CJR568" s="8"/>
      <c r="CJS568" s="8"/>
      <c r="CJT568" s="8"/>
      <c r="CJU568" s="8"/>
      <c r="CJV568" s="8"/>
      <c r="CJW568" s="8"/>
      <c r="CJX568" s="8"/>
      <c r="CJY568" s="8"/>
      <c r="CJZ568" s="8"/>
      <c r="CKA568" s="8"/>
      <c r="CKB568" s="8"/>
      <c r="CKC568" s="8"/>
      <c r="CKD568" s="8"/>
      <c r="CKE568" s="8"/>
      <c r="CKF568" s="8"/>
      <c r="CKG568" s="8"/>
      <c r="CKH568" s="8"/>
      <c r="CKI568" s="8"/>
      <c r="CKJ568" s="8"/>
      <c r="CKK568" s="8"/>
      <c r="CKL568" s="8"/>
      <c r="CKM568" s="8"/>
      <c r="CKN568" s="8"/>
    </row>
    <row r="569" spans="1:2328" s="26" customFormat="1" ht="18.600000000000001" customHeight="1" x14ac:dyDescent="0.25">
      <c r="A569" s="60" t="s">
        <v>249</v>
      </c>
      <c r="B569" s="2" t="s">
        <v>5064</v>
      </c>
      <c r="C569" s="3" t="s">
        <v>5065</v>
      </c>
      <c r="D569" s="12" t="s">
        <v>5123</v>
      </c>
      <c r="E569" s="12" t="s">
        <v>5124</v>
      </c>
      <c r="F569" s="12" t="s">
        <v>5125</v>
      </c>
      <c r="G569" s="25">
        <v>87017</v>
      </c>
      <c r="H569" s="25">
        <v>41320</v>
      </c>
      <c r="I569" s="25">
        <v>7534</v>
      </c>
      <c r="J569" s="25">
        <v>27855</v>
      </c>
      <c r="K569" s="25">
        <v>189504</v>
      </c>
      <c r="L569" s="25">
        <v>875694</v>
      </c>
      <c r="M569" s="25">
        <v>1065198</v>
      </c>
      <c r="N569" s="31">
        <v>0.18</v>
      </c>
      <c r="O569" s="25">
        <v>20914</v>
      </c>
      <c r="P569" s="25">
        <v>9122</v>
      </c>
      <c r="Q569" s="25">
        <v>7389</v>
      </c>
      <c r="R569" s="25">
        <v>403</v>
      </c>
      <c r="S569" s="25">
        <v>223</v>
      </c>
      <c r="T569" s="25">
        <v>851</v>
      </c>
      <c r="U569" s="61">
        <v>1442</v>
      </c>
      <c r="V569" s="58">
        <v>5.7999999999999996E-3</v>
      </c>
      <c r="W569" s="33">
        <v>2.5999999999999999E-3</v>
      </c>
      <c r="X569" s="33">
        <v>3.0000000000000001E-3</v>
      </c>
      <c r="Y569" s="33">
        <v>2.2000000000000001E-3</v>
      </c>
      <c r="Z569" s="33">
        <v>3.3000000000000002E-2</v>
      </c>
      <c r="AA569" s="33">
        <v>3.3E-3</v>
      </c>
      <c r="AB569" s="25">
        <v>2027</v>
      </c>
      <c r="AC569" s="25">
        <v>1237</v>
      </c>
      <c r="AD569" s="25">
        <v>313</v>
      </c>
      <c r="AE569" s="25">
        <v>108</v>
      </c>
      <c r="AF569" s="25">
        <v>222</v>
      </c>
      <c r="AG569" s="25">
        <v>139</v>
      </c>
      <c r="AH569" s="25">
        <v>8</v>
      </c>
      <c r="AI569" s="12">
        <v>4.62</v>
      </c>
      <c r="AJ569" s="25">
        <v>11029</v>
      </c>
      <c r="AK569" s="25">
        <v>0</v>
      </c>
      <c r="AL569" s="31">
        <v>0</v>
      </c>
      <c r="AM569" s="3" t="s">
        <v>5065</v>
      </c>
      <c r="AN569" s="12" t="s">
        <v>5124</v>
      </c>
      <c r="AO569" s="12" t="s">
        <v>5124</v>
      </c>
      <c r="AP569" s="12" t="str">
        <f>"302919759865959"</f>
        <v>302919759865959</v>
      </c>
      <c r="AQ569" s="12" t="s">
        <v>5123</v>
      </c>
      <c r="AR569" s="12" t="s">
        <v>5355</v>
      </c>
      <c r="AS569" s="12" t="s">
        <v>5356</v>
      </c>
      <c r="AT569" s="12"/>
      <c r="AU569" s="12" t="s">
        <v>424</v>
      </c>
      <c r="AV569" s="12"/>
      <c r="AW569" s="12"/>
      <c r="AX569" s="12">
        <v>0</v>
      </c>
      <c r="AY569" s="12">
        <v>201</v>
      </c>
      <c r="AZ569" s="12">
        <v>0</v>
      </c>
      <c r="BA569" s="12" t="s">
        <v>5357</v>
      </c>
      <c r="BB569" s="12"/>
      <c r="BC569" s="12" t="s">
        <v>6772</v>
      </c>
      <c r="BD569" s="12"/>
      <c r="BE569" s="12" t="s">
        <v>2291</v>
      </c>
      <c r="BF569" s="12"/>
      <c r="BG569" s="12"/>
      <c r="BH569" s="12"/>
      <c r="BI569" s="12"/>
      <c r="BJ569" s="12"/>
      <c r="BK569" s="12"/>
      <c r="BL569" s="12" t="s">
        <v>2292</v>
      </c>
      <c r="BM569" s="12" t="s">
        <v>2292</v>
      </c>
      <c r="BN569" s="12" t="s">
        <v>2292</v>
      </c>
      <c r="BO569" s="12" t="s">
        <v>2291</v>
      </c>
      <c r="BP569" s="12"/>
      <c r="BQ569" s="12"/>
      <c r="BR569" s="12"/>
      <c r="BS569" s="12"/>
      <c r="BT569" s="12"/>
      <c r="BU569" s="12"/>
      <c r="BV569" s="12"/>
      <c r="BW569" s="12"/>
      <c r="BX569" s="12"/>
      <c r="BY569" s="13" t="s">
        <v>313</v>
      </c>
      <c r="BZ569" s="13" t="s">
        <v>312</v>
      </c>
      <c r="CA569" s="13"/>
      <c r="CB569" s="13"/>
      <c r="CC569" s="13"/>
      <c r="CD569" s="13"/>
      <c r="CE569" s="13"/>
      <c r="CF569" s="13"/>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c r="IW569" s="8"/>
      <c r="IX569" s="8"/>
      <c r="IY569" s="8"/>
      <c r="IZ569" s="8"/>
      <c r="JA569" s="8"/>
      <c r="JB569" s="8"/>
      <c r="JC569" s="8"/>
      <c r="JD569" s="8"/>
      <c r="JE569" s="8"/>
      <c r="JF569" s="8"/>
      <c r="JG569" s="8"/>
      <c r="JH569" s="8"/>
      <c r="JI569" s="8"/>
      <c r="JJ569" s="8"/>
      <c r="JK569" s="8"/>
      <c r="JL569" s="8"/>
      <c r="JM569" s="8"/>
      <c r="JN569" s="8"/>
      <c r="JO569" s="8"/>
      <c r="JP569" s="8"/>
      <c r="JQ569" s="8"/>
      <c r="JR569" s="8"/>
      <c r="JS569" s="8"/>
      <c r="JT569" s="8"/>
      <c r="JU569" s="8"/>
      <c r="JV569" s="8"/>
      <c r="JW569" s="8"/>
      <c r="JX569" s="8"/>
      <c r="JY569" s="8"/>
      <c r="JZ569" s="8"/>
      <c r="KA569" s="8"/>
      <c r="KB569" s="8"/>
      <c r="KC569" s="8"/>
      <c r="KD569" s="8"/>
      <c r="KE569" s="8"/>
      <c r="KF569" s="8"/>
      <c r="KG569" s="8"/>
      <c r="KH569" s="8"/>
      <c r="KI569" s="8"/>
      <c r="KJ569" s="8"/>
      <c r="KK569" s="8"/>
      <c r="KL569" s="8"/>
      <c r="KM569" s="8"/>
      <c r="KN569" s="8"/>
      <c r="KO569" s="8"/>
      <c r="KP569" s="8"/>
      <c r="KQ569" s="8"/>
      <c r="KR569" s="8"/>
      <c r="KS569" s="8"/>
      <c r="KT569" s="8"/>
      <c r="KU569" s="8"/>
      <c r="KV569" s="8"/>
      <c r="KW569" s="8"/>
      <c r="KX569" s="8"/>
      <c r="KY569" s="8"/>
      <c r="KZ569" s="8"/>
      <c r="LA569" s="8"/>
      <c r="LB569" s="8"/>
      <c r="LC569" s="8"/>
      <c r="LD569" s="8"/>
      <c r="LE569" s="8"/>
      <c r="LF569" s="8"/>
      <c r="LG569" s="8"/>
      <c r="LH569" s="8"/>
      <c r="LI569" s="8"/>
      <c r="LJ569" s="8"/>
      <c r="LK569" s="8"/>
      <c r="LL569" s="8"/>
      <c r="LM569" s="8"/>
      <c r="LN569" s="8"/>
      <c r="LO569" s="8"/>
      <c r="LP569" s="8"/>
      <c r="LQ569" s="8"/>
      <c r="LR569" s="8"/>
      <c r="LS569" s="8"/>
      <c r="LT569" s="8"/>
      <c r="LU569" s="8"/>
      <c r="LV569" s="8"/>
      <c r="LW569" s="8"/>
      <c r="LX569" s="8"/>
      <c r="LY569" s="8"/>
      <c r="LZ569" s="8"/>
      <c r="MA569" s="8"/>
      <c r="MB569" s="8"/>
      <c r="MC569" s="8"/>
      <c r="MD569" s="8"/>
      <c r="ME569" s="8"/>
      <c r="MF569" s="8"/>
      <c r="MG569" s="8"/>
      <c r="MH569" s="8"/>
      <c r="MI569" s="8"/>
      <c r="MJ569" s="8"/>
      <c r="MK569" s="8"/>
      <c r="ML569" s="8"/>
      <c r="MM569" s="8"/>
      <c r="MN569" s="8"/>
      <c r="MO569" s="8"/>
      <c r="MP569" s="8"/>
      <c r="MQ569" s="8"/>
      <c r="MR569" s="8"/>
      <c r="MS569" s="8"/>
      <c r="MT569" s="8"/>
      <c r="MU569" s="8"/>
      <c r="MV569" s="8"/>
      <c r="MW569" s="8"/>
      <c r="MX569" s="8"/>
      <c r="MY569" s="8"/>
      <c r="MZ569" s="8"/>
      <c r="NA569" s="8"/>
      <c r="NB569" s="8"/>
      <c r="NC569" s="8"/>
      <c r="ND569" s="8"/>
      <c r="NE569" s="8"/>
      <c r="NF569" s="8"/>
      <c r="NG569" s="8"/>
      <c r="NH569" s="8"/>
      <c r="NI569" s="8"/>
      <c r="NJ569" s="8"/>
      <c r="NK569" s="8"/>
      <c r="NL569" s="8"/>
      <c r="NM569" s="8"/>
      <c r="NN569" s="8"/>
      <c r="NO569" s="8"/>
      <c r="NP569" s="8"/>
      <c r="NQ569" s="8"/>
      <c r="NR569" s="8"/>
      <c r="NS569" s="8"/>
      <c r="NT569" s="8"/>
      <c r="NU569" s="8"/>
      <c r="NV569" s="8"/>
      <c r="NW569" s="8"/>
      <c r="NX569" s="8"/>
      <c r="NY569" s="8"/>
      <c r="NZ569" s="8"/>
      <c r="OA569" s="8"/>
      <c r="OB569" s="8"/>
      <c r="OC569" s="8"/>
      <c r="OD569" s="8"/>
      <c r="OE569" s="8"/>
      <c r="OF569" s="8"/>
      <c r="OG569" s="8"/>
      <c r="OH569" s="8"/>
      <c r="OI569" s="8"/>
      <c r="OJ569" s="8"/>
      <c r="OK569" s="8"/>
      <c r="OL569" s="8"/>
      <c r="OM569" s="8"/>
      <c r="ON569" s="8"/>
      <c r="OO569" s="8"/>
      <c r="OP569" s="8"/>
      <c r="OQ569" s="8"/>
      <c r="OR569" s="8"/>
      <c r="OS569" s="8"/>
      <c r="OT569" s="8"/>
      <c r="OU569" s="8"/>
      <c r="OV569" s="8"/>
      <c r="OW569" s="8"/>
      <c r="OX569" s="8"/>
      <c r="OY569" s="8"/>
      <c r="OZ569" s="8"/>
      <c r="PA569" s="8"/>
      <c r="PB569" s="8"/>
      <c r="PC569" s="8"/>
      <c r="PD569" s="8"/>
      <c r="PE569" s="8"/>
      <c r="PF569" s="8"/>
      <c r="PG569" s="8"/>
      <c r="PH569" s="8"/>
      <c r="PI569" s="8"/>
      <c r="PJ569" s="8"/>
      <c r="PK569" s="8"/>
      <c r="PL569" s="8"/>
      <c r="PM569" s="8"/>
      <c r="PN569" s="8"/>
      <c r="PO569" s="8"/>
      <c r="PP569" s="8"/>
      <c r="PQ569" s="8"/>
      <c r="PR569" s="8"/>
      <c r="PS569" s="8"/>
      <c r="PT569" s="8"/>
      <c r="PU569" s="8"/>
      <c r="PV569" s="8"/>
      <c r="PW569" s="8"/>
      <c r="PX569" s="8"/>
      <c r="PY569" s="8"/>
      <c r="PZ569" s="8"/>
      <c r="QA569" s="8"/>
      <c r="QB569" s="8"/>
      <c r="QC569" s="8"/>
      <c r="QD569" s="8"/>
      <c r="QE569" s="8"/>
      <c r="QF569" s="8"/>
      <c r="QG569" s="8"/>
      <c r="QH569" s="8"/>
      <c r="QI569" s="8"/>
      <c r="QJ569" s="8"/>
      <c r="QK569" s="8"/>
      <c r="QL569" s="8"/>
      <c r="QM569" s="8"/>
      <c r="QN569" s="8"/>
      <c r="QO569" s="8"/>
      <c r="QP569" s="8"/>
      <c r="QQ569" s="8"/>
      <c r="QR569" s="8"/>
      <c r="QS569" s="8"/>
      <c r="QT569" s="8"/>
      <c r="QU569" s="8"/>
      <c r="QV569" s="8"/>
      <c r="QW569" s="8"/>
      <c r="QX569" s="8"/>
      <c r="QY569" s="8"/>
      <c r="QZ569" s="8"/>
      <c r="RA569" s="8"/>
      <c r="RB569" s="8"/>
      <c r="RC569" s="8"/>
      <c r="RD569" s="8"/>
      <c r="RE569" s="8"/>
      <c r="RF569" s="8"/>
      <c r="RG569" s="8"/>
      <c r="RH569" s="8"/>
      <c r="RI569" s="8"/>
      <c r="RJ569" s="8"/>
      <c r="RK569" s="8"/>
      <c r="RL569" s="8"/>
      <c r="RM569" s="8"/>
      <c r="RN569" s="8"/>
      <c r="RO569" s="8"/>
      <c r="RP569" s="8"/>
      <c r="RQ569" s="8"/>
      <c r="RR569" s="8"/>
      <c r="RS569" s="8"/>
      <c r="RT569" s="8"/>
      <c r="RU569" s="8"/>
      <c r="RV569" s="8"/>
      <c r="RW569" s="8"/>
      <c r="RX569" s="8"/>
      <c r="RY569" s="8"/>
      <c r="RZ569" s="8"/>
      <c r="SA569" s="8"/>
      <c r="SB569" s="8"/>
      <c r="SC569" s="8"/>
      <c r="SD569" s="8"/>
      <c r="SE569" s="8"/>
      <c r="SF569" s="8"/>
      <c r="SG569" s="8"/>
      <c r="SH569" s="8"/>
      <c r="SI569" s="8"/>
      <c r="SJ569" s="8"/>
      <c r="SK569" s="8"/>
      <c r="SL569" s="8"/>
      <c r="SM569" s="8"/>
      <c r="SN569" s="8"/>
      <c r="SO569" s="8"/>
      <c r="SP569" s="8"/>
      <c r="SQ569" s="8"/>
      <c r="SR569" s="8"/>
      <c r="SS569" s="8"/>
      <c r="ST569" s="8"/>
      <c r="SU569" s="8"/>
      <c r="SV569" s="8"/>
      <c r="SW569" s="8"/>
      <c r="SX569" s="8"/>
      <c r="SY569" s="8"/>
      <c r="SZ569" s="8"/>
      <c r="TA569" s="8"/>
      <c r="TB569" s="8"/>
      <c r="TC569" s="8"/>
      <c r="TD569" s="8"/>
      <c r="TE569" s="8"/>
      <c r="TF569" s="8"/>
      <c r="TG569" s="8"/>
      <c r="TH569" s="8"/>
      <c r="TI569" s="8"/>
      <c r="TJ569" s="8"/>
      <c r="TK569" s="8"/>
      <c r="TL569" s="8"/>
      <c r="TM569" s="8"/>
      <c r="TN569" s="8"/>
      <c r="TO569" s="8"/>
      <c r="TP569" s="8"/>
      <c r="TQ569" s="8"/>
      <c r="TR569" s="8"/>
      <c r="TS569" s="8"/>
      <c r="TT569" s="8"/>
      <c r="TU569" s="8"/>
      <c r="TV569" s="8"/>
      <c r="TW569" s="8"/>
      <c r="TX569" s="8"/>
      <c r="TY569" s="8"/>
      <c r="TZ569" s="8"/>
      <c r="UA569" s="8"/>
      <c r="UB569" s="8"/>
      <c r="UC569" s="8"/>
      <c r="UD569" s="8"/>
      <c r="UE569" s="8"/>
      <c r="UF569" s="8"/>
      <c r="UG569" s="8"/>
      <c r="UH569" s="8"/>
      <c r="UI569" s="8"/>
      <c r="UJ569" s="8"/>
      <c r="UK569" s="8"/>
      <c r="UL569" s="8"/>
      <c r="UM569" s="8"/>
      <c r="UN569" s="8"/>
      <c r="UO569" s="8"/>
      <c r="UP569" s="8"/>
      <c r="UQ569" s="8"/>
      <c r="UR569" s="8"/>
      <c r="US569" s="8"/>
      <c r="UT569" s="8"/>
      <c r="UU569" s="8"/>
      <c r="UV569" s="8"/>
      <c r="UW569" s="8"/>
      <c r="UX569" s="8"/>
      <c r="UY569" s="8"/>
      <c r="UZ569" s="8"/>
      <c r="VA569" s="8"/>
      <c r="VB569" s="8"/>
      <c r="VC569" s="8"/>
      <c r="VD569" s="8"/>
      <c r="VE569" s="8"/>
      <c r="VF569" s="8"/>
      <c r="VG569" s="8"/>
      <c r="VH569" s="8"/>
      <c r="VI569" s="8"/>
      <c r="VJ569" s="8"/>
      <c r="VK569" s="8"/>
      <c r="VL569" s="8"/>
      <c r="VM569" s="8"/>
      <c r="VN569" s="8"/>
      <c r="VO569" s="8"/>
      <c r="VP569" s="8"/>
      <c r="VQ569" s="8"/>
      <c r="VR569" s="8"/>
      <c r="VS569" s="8"/>
      <c r="VT569" s="8"/>
      <c r="VU569" s="8"/>
      <c r="VV569" s="8"/>
      <c r="VW569" s="8"/>
      <c r="VX569" s="8"/>
      <c r="VY569" s="8"/>
      <c r="VZ569" s="8"/>
      <c r="WA569" s="8"/>
      <c r="WB569" s="8"/>
      <c r="WC569" s="8"/>
      <c r="WD569" s="8"/>
      <c r="WE569" s="8"/>
      <c r="WF569" s="8"/>
      <c r="WG569" s="8"/>
      <c r="WH569" s="8"/>
      <c r="WI569" s="8"/>
      <c r="WJ569" s="8"/>
      <c r="WK569" s="8"/>
      <c r="WL569" s="8"/>
      <c r="WM569" s="8"/>
      <c r="WN569" s="8"/>
      <c r="WO569" s="8"/>
      <c r="WP569" s="8"/>
      <c r="WQ569" s="8"/>
      <c r="WR569" s="8"/>
      <c r="WS569" s="8"/>
      <c r="WT569" s="8"/>
      <c r="WU569" s="8"/>
      <c r="WV569" s="8"/>
      <c r="WW569" s="8"/>
      <c r="WX569" s="8"/>
      <c r="WY569" s="8"/>
      <c r="WZ569" s="8"/>
      <c r="XA569" s="8"/>
      <c r="XB569" s="8"/>
      <c r="XC569" s="8"/>
      <c r="XD569" s="8"/>
      <c r="XE569" s="8"/>
      <c r="XF569" s="8"/>
      <c r="XG569" s="8"/>
      <c r="XH569" s="8"/>
      <c r="XI569" s="8"/>
      <c r="XJ569" s="8"/>
      <c r="XK569" s="8"/>
      <c r="XL569" s="8"/>
      <c r="XM569" s="8"/>
      <c r="XN569" s="8"/>
      <c r="XO569" s="8"/>
      <c r="XP569" s="8"/>
      <c r="XQ569" s="8"/>
      <c r="XR569" s="8"/>
      <c r="XS569" s="8"/>
      <c r="XT569" s="8"/>
      <c r="XU569" s="8"/>
      <c r="XV569" s="8"/>
      <c r="XW569" s="8"/>
      <c r="XX569" s="8"/>
      <c r="XY569" s="8"/>
      <c r="XZ569" s="8"/>
      <c r="YA569" s="8"/>
      <c r="YB569" s="8"/>
      <c r="YC569" s="8"/>
      <c r="YD569" s="8"/>
      <c r="YE569" s="8"/>
      <c r="YF569" s="8"/>
      <c r="YG569" s="8"/>
      <c r="YH569" s="8"/>
      <c r="YI569" s="8"/>
      <c r="YJ569" s="8"/>
      <c r="YK569" s="8"/>
      <c r="YL569" s="8"/>
      <c r="YM569" s="8"/>
      <c r="YN569" s="8"/>
      <c r="YO569" s="8"/>
      <c r="YP569" s="8"/>
      <c r="YQ569" s="8"/>
      <c r="YR569" s="8"/>
      <c r="YS569" s="8"/>
      <c r="YT569" s="8"/>
      <c r="YU569" s="8"/>
      <c r="YV569" s="8"/>
      <c r="YW569" s="8"/>
      <c r="YX569" s="8"/>
      <c r="YY569" s="8"/>
      <c r="YZ569" s="8"/>
      <c r="ZA569" s="8"/>
      <c r="ZB569" s="8"/>
      <c r="ZC569" s="8"/>
      <c r="ZD569" s="8"/>
      <c r="ZE569" s="8"/>
      <c r="ZF569" s="8"/>
      <c r="ZG569" s="8"/>
      <c r="ZH569" s="8"/>
      <c r="ZI569" s="8"/>
      <c r="ZJ569" s="8"/>
      <c r="ZK569" s="8"/>
      <c r="ZL569" s="8"/>
      <c r="ZM569" s="8"/>
      <c r="ZN569" s="8"/>
      <c r="ZO569" s="8"/>
      <c r="ZP569" s="8"/>
      <c r="ZQ569" s="8"/>
      <c r="ZR569" s="8"/>
      <c r="ZS569" s="8"/>
      <c r="ZT569" s="8"/>
      <c r="ZU569" s="8"/>
      <c r="ZV569" s="8"/>
      <c r="ZW569" s="8"/>
      <c r="ZX569" s="8"/>
      <c r="ZY569" s="8"/>
      <c r="ZZ569" s="8"/>
      <c r="AAA569" s="8"/>
      <c r="AAB569" s="8"/>
      <c r="AAC569" s="8"/>
      <c r="AAD569" s="8"/>
      <c r="AAE569" s="8"/>
      <c r="AAF569" s="8"/>
      <c r="AAG569" s="8"/>
      <c r="AAH569" s="8"/>
      <c r="AAI569" s="8"/>
      <c r="AAJ569" s="8"/>
      <c r="AAK569" s="8"/>
      <c r="AAL569" s="8"/>
      <c r="AAM569" s="8"/>
      <c r="AAN569" s="8"/>
      <c r="AAO569" s="8"/>
      <c r="AAP569" s="8"/>
      <c r="AAQ569" s="8"/>
      <c r="AAR569" s="8"/>
      <c r="AAS569" s="8"/>
      <c r="AAT569" s="8"/>
      <c r="AAU569" s="8"/>
      <c r="AAV569" s="8"/>
      <c r="AAW569" s="8"/>
      <c r="AAX569" s="8"/>
      <c r="AAY569" s="8"/>
      <c r="AAZ569" s="8"/>
      <c r="ABA569" s="8"/>
      <c r="ABB569" s="8"/>
      <c r="ABC569" s="8"/>
      <c r="ABD569" s="8"/>
      <c r="ABE569" s="8"/>
      <c r="ABF569" s="8"/>
      <c r="ABG569" s="8"/>
      <c r="ABH569" s="8"/>
      <c r="ABI569" s="8"/>
      <c r="ABJ569" s="8"/>
      <c r="ABK569" s="8"/>
      <c r="ABL569" s="8"/>
      <c r="ABM569" s="8"/>
      <c r="ABN569" s="8"/>
      <c r="ABO569" s="8"/>
      <c r="ABP569" s="8"/>
      <c r="ABQ569" s="8"/>
      <c r="ABR569" s="8"/>
      <c r="ABS569" s="8"/>
      <c r="ABT569" s="8"/>
      <c r="ABU569" s="8"/>
      <c r="ABV569" s="8"/>
      <c r="ABW569" s="8"/>
      <c r="ABX569" s="8"/>
      <c r="ABY569" s="8"/>
      <c r="ABZ569" s="8"/>
      <c r="ACA569" s="8"/>
      <c r="ACB569" s="8"/>
      <c r="ACC569" s="8"/>
      <c r="ACD569" s="8"/>
      <c r="ACE569" s="8"/>
      <c r="ACF569" s="8"/>
      <c r="ACG569" s="8"/>
      <c r="ACH569" s="8"/>
      <c r="ACI569" s="8"/>
      <c r="ACJ569" s="8"/>
      <c r="ACK569" s="8"/>
      <c r="ACL569" s="8"/>
      <c r="ACM569" s="8"/>
      <c r="ACN569" s="8"/>
      <c r="ACO569" s="8"/>
      <c r="ACP569" s="8"/>
      <c r="ACQ569" s="8"/>
      <c r="ACR569" s="8"/>
      <c r="ACS569" s="8"/>
      <c r="ACT569" s="8"/>
      <c r="ACU569" s="8"/>
      <c r="ACV569" s="8"/>
      <c r="ACW569" s="8"/>
      <c r="ACX569" s="8"/>
      <c r="ACY569" s="8"/>
      <c r="ACZ569" s="8"/>
      <c r="ADA569" s="8"/>
      <c r="ADB569" s="8"/>
      <c r="ADC569" s="8"/>
      <c r="ADD569" s="8"/>
      <c r="ADE569" s="8"/>
      <c r="ADF569" s="8"/>
      <c r="ADG569" s="8"/>
      <c r="ADH569" s="8"/>
      <c r="ADI569" s="8"/>
      <c r="ADJ569" s="8"/>
      <c r="ADK569" s="8"/>
      <c r="ADL569" s="8"/>
      <c r="ADM569" s="8"/>
      <c r="ADN569" s="8"/>
      <c r="ADO569" s="8"/>
      <c r="ADP569" s="8"/>
      <c r="ADQ569" s="8"/>
      <c r="ADR569" s="8"/>
      <c r="ADS569" s="8"/>
      <c r="ADT569" s="8"/>
      <c r="ADU569" s="8"/>
      <c r="ADV569" s="8"/>
      <c r="ADW569" s="8"/>
      <c r="ADX569" s="8"/>
      <c r="ADY569" s="8"/>
      <c r="ADZ569" s="8"/>
      <c r="AEA569" s="8"/>
      <c r="AEB569" s="8"/>
      <c r="AEC569" s="8"/>
      <c r="AED569" s="8"/>
      <c r="AEE569" s="8"/>
      <c r="AEF569" s="8"/>
      <c r="AEG569" s="8"/>
      <c r="AEH569" s="8"/>
      <c r="AEI569" s="8"/>
      <c r="AEJ569" s="8"/>
      <c r="AEK569" s="8"/>
      <c r="AEL569" s="8"/>
      <c r="AEM569" s="8"/>
      <c r="AEN569" s="8"/>
      <c r="AEO569" s="8"/>
      <c r="AEP569" s="8"/>
      <c r="AEQ569" s="8"/>
      <c r="AER569" s="8"/>
      <c r="AES569" s="8"/>
      <c r="AET569" s="8"/>
      <c r="AEU569" s="8"/>
      <c r="AEV569" s="8"/>
      <c r="AEW569" s="8"/>
      <c r="AEX569" s="8"/>
      <c r="AEY569" s="8"/>
      <c r="AEZ569" s="8"/>
      <c r="AFA569" s="8"/>
      <c r="AFB569" s="8"/>
      <c r="AFC569" s="8"/>
      <c r="AFD569" s="8"/>
      <c r="AFE569" s="8"/>
      <c r="AFF569" s="8"/>
      <c r="AFG569" s="8"/>
      <c r="AFH569" s="8"/>
      <c r="AFI569" s="8"/>
      <c r="AFJ569" s="8"/>
      <c r="AFK569" s="8"/>
      <c r="AFL569" s="8"/>
      <c r="AFM569" s="8"/>
      <c r="AFN569" s="8"/>
      <c r="AFO569" s="8"/>
      <c r="AFP569" s="8"/>
      <c r="AFQ569" s="8"/>
      <c r="AFR569" s="8"/>
      <c r="AFS569" s="8"/>
      <c r="AFT569" s="8"/>
      <c r="AFU569" s="8"/>
      <c r="AFV569" s="8"/>
      <c r="AFW569" s="8"/>
      <c r="AFX569" s="8"/>
      <c r="AFY569" s="8"/>
      <c r="AFZ569" s="8"/>
      <c r="AGA569" s="8"/>
      <c r="AGB569" s="8"/>
      <c r="AGC569" s="8"/>
      <c r="AGD569" s="8"/>
      <c r="AGE569" s="8"/>
      <c r="AGF569" s="8"/>
      <c r="AGG569" s="8"/>
      <c r="AGH569" s="8"/>
      <c r="AGI569" s="8"/>
      <c r="AGJ569" s="8"/>
      <c r="AGK569" s="8"/>
      <c r="AGL569" s="8"/>
      <c r="AGM569" s="8"/>
      <c r="AGN569" s="8"/>
      <c r="AGO569" s="8"/>
      <c r="AGP569" s="8"/>
      <c r="AGQ569" s="8"/>
      <c r="AGR569" s="8"/>
      <c r="AGS569" s="8"/>
      <c r="AGT569" s="8"/>
      <c r="AGU569" s="8"/>
      <c r="AGV569" s="8"/>
      <c r="AGW569" s="8"/>
      <c r="AGX569" s="8"/>
      <c r="AGY569" s="8"/>
      <c r="AGZ569" s="8"/>
      <c r="AHA569" s="8"/>
      <c r="AHB569" s="8"/>
      <c r="AHC569" s="8"/>
      <c r="AHD569" s="8"/>
      <c r="AHE569" s="8"/>
      <c r="AHF569" s="8"/>
      <c r="AHG569" s="8"/>
      <c r="AHH569" s="8"/>
      <c r="AHI569" s="8"/>
      <c r="AHJ569" s="8"/>
      <c r="AHK569" s="8"/>
      <c r="AHL569" s="8"/>
      <c r="AHM569" s="8"/>
      <c r="AHN569" s="8"/>
      <c r="AHO569" s="8"/>
      <c r="AHP569" s="8"/>
      <c r="AHQ569" s="8"/>
      <c r="AHR569" s="8"/>
      <c r="AHS569" s="8"/>
      <c r="AHT569" s="8"/>
      <c r="AHU569" s="8"/>
      <c r="AHV569" s="8"/>
      <c r="AHW569" s="8"/>
      <c r="AHX569" s="8"/>
      <c r="AHY569" s="8"/>
      <c r="AHZ569" s="8"/>
      <c r="AIA569" s="8"/>
      <c r="AIB569" s="8"/>
      <c r="AIC569" s="8"/>
      <c r="AID569" s="8"/>
      <c r="AIE569" s="8"/>
      <c r="AIF569" s="8"/>
      <c r="AIG569" s="8"/>
      <c r="AIH569" s="8"/>
      <c r="AII569" s="8"/>
      <c r="AIJ569" s="8"/>
      <c r="AIK569" s="8"/>
      <c r="AIL569" s="8"/>
      <c r="AIM569" s="8"/>
      <c r="AIN569" s="8"/>
      <c r="AIO569" s="8"/>
      <c r="AIP569" s="8"/>
      <c r="AIQ569" s="8"/>
      <c r="AIR569" s="8"/>
      <c r="AIS569" s="8"/>
      <c r="AIT569" s="8"/>
      <c r="AIU569" s="8"/>
      <c r="AIV569" s="8"/>
      <c r="AIW569" s="8"/>
      <c r="AIX569" s="8"/>
      <c r="AIY569" s="8"/>
      <c r="AIZ569" s="8"/>
      <c r="AJA569" s="8"/>
      <c r="AJB569" s="8"/>
      <c r="AJC569" s="8"/>
      <c r="AJD569" s="8"/>
      <c r="AJE569" s="8"/>
      <c r="AJF569" s="8"/>
      <c r="AJG569" s="8"/>
      <c r="AJH569" s="8"/>
      <c r="AJI569" s="8"/>
      <c r="AJJ569" s="8"/>
      <c r="AJK569" s="8"/>
      <c r="AJL569" s="8"/>
      <c r="AJM569" s="8"/>
      <c r="AJN569" s="8"/>
      <c r="AJO569" s="8"/>
      <c r="AJP569" s="8"/>
      <c r="AJQ569" s="8"/>
      <c r="AJR569" s="8"/>
      <c r="AJS569" s="8"/>
      <c r="AJT569" s="8"/>
      <c r="AJU569" s="8"/>
      <c r="AJV569" s="8"/>
      <c r="AJW569" s="8"/>
      <c r="AJX569" s="8"/>
      <c r="AJY569" s="8"/>
      <c r="AJZ569" s="8"/>
      <c r="AKA569" s="8"/>
      <c r="AKB569" s="8"/>
      <c r="AKC569" s="8"/>
      <c r="AKD569" s="8"/>
      <c r="AKE569" s="8"/>
      <c r="AKF569" s="8"/>
      <c r="AKG569" s="8"/>
      <c r="AKH569" s="8"/>
      <c r="AKI569" s="8"/>
      <c r="AKJ569" s="8"/>
      <c r="AKK569" s="8"/>
      <c r="AKL569" s="8"/>
      <c r="AKM569" s="8"/>
      <c r="AKN569" s="8"/>
      <c r="AKO569" s="8"/>
      <c r="AKP569" s="8"/>
      <c r="AKQ569" s="8"/>
      <c r="AKR569" s="8"/>
      <c r="AKS569" s="8"/>
      <c r="AKT569" s="8"/>
      <c r="AKU569" s="8"/>
      <c r="AKV569" s="8"/>
      <c r="AKW569" s="8"/>
      <c r="AKX569" s="8"/>
      <c r="AKY569" s="8"/>
      <c r="AKZ569" s="8"/>
      <c r="ALA569" s="8"/>
      <c r="ALB569" s="8"/>
      <c r="ALC569" s="8"/>
      <c r="ALD569" s="8"/>
      <c r="ALE569" s="8"/>
      <c r="ALF569" s="8"/>
      <c r="ALG569" s="8"/>
      <c r="ALH569" s="8"/>
      <c r="ALI569" s="8"/>
      <c r="ALJ569" s="8"/>
      <c r="ALK569" s="8"/>
      <c r="ALL569" s="8"/>
      <c r="ALM569" s="8"/>
      <c r="ALN569" s="8"/>
      <c r="ALO569" s="8"/>
      <c r="ALP569" s="8"/>
      <c r="ALQ569" s="8"/>
      <c r="ALR569" s="8"/>
      <c r="ALS569" s="8"/>
      <c r="ALT569" s="8"/>
      <c r="ALU569" s="8"/>
      <c r="ALV569" s="8"/>
      <c r="ALW569" s="8"/>
      <c r="ALX569" s="8"/>
      <c r="ALY569" s="8"/>
      <c r="ALZ569" s="8"/>
      <c r="AMA569" s="8"/>
      <c r="AMB569" s="8"/>
      <c r="AMC569" s="8"/>
      <c r="AMD569" s="8"/>
      <c r="AME569" s="8"/>
      <c r="AMF569" s="8"/>
      <c r="AMG569" s="8"/>
      <c r="AMH569" s="8"/>
      <c r="AMI569" s="8"/>
      <c r="AMJ569" s="8"/>
      <c r="AMK569" s="8"/>
      <c r="AML569" s="8"/>
      <c r="AMM569" s="8"/>
      <c r="AMN569" s="8"/>
      <c r="AMO569" s="8"/>
      <c r="AMP569" s="8"/>
      <c r="AMQ569" s="8"/>
      <c r="AMR569" s="8"/>
      <c r="AMS569" s="8"/>
      <c r="AMT569" s="8"/>
      <c r="AMU569" s="8"/>
      <c r="AMV569" s="8"/>
      <c r="AMW569" s="8"/>
      <c r="AMX569" s="8"/>
      <c r="AMY569" s="8"/>
      <c r="AMZ569" s="8"/>
      <c r="ANA569" s="8"/>
      <c r="ANB569" s="8"/>
      <c r="ANC569" s="8"/>
      <c r="AND569" s="8"/>
      <c r="ANE569" s="8"/>
      <c r="ANF569" s="8"/>
      <c r="ANG569" s="8"/>
      <c r="ANH569" s="8"/>
      <c r="ANI569" s="8"/>
      <c r="ANJ569" s="8"/>
      <c r="ANK569" s="8"/>
      <c r="ANL569" s="8"/>
      <c r="ANM569" s="8"/>
      <c r="ANN569" s="8"/>
      <c r="ANO569" s="8"/>
      <c r="ANP569" s="8"/>
      <c r="ANQ569" s="8"/>
      <c r="ANR569" s="8"/>
      <c r="ANS569" s="8"/>
      <c r="ANT569" s="8"/>
      <c r="ANU569" s="8"/>
      <c r="ANV569" s="8"/>
      <c r="ANW569" s="8"/>
      <c r="ANX569" s="8"/>
      <c r="ANY569" s="8"/>
      <c r="ANZ569" s="8"/>
      <c r="AOA569" s="8"/>
      <c r="AOB569" s="8"/>
      <c r="AOC569" s="8"/>
      <c r="AOD569" s="8"/>
      <c r="AOE569" s="8"/>
      <c r="AOF569" s="8"/>
      <c r="AOG569" s="8"/>
      <c r="AOH569" s="8"/>
      <c r="AOI569" s="8"/>
      <c r="AOJ569" s="8"/>
      <c r="AOK569" s="8"/>
      <c r="AOL569" s="8"/>
      <c r="AOM569" s="8"/>
      <c r="AON569" s="8"/>
      <c r="AOO569" s="8"/>
      <c r="AOP569" s="8"/>
      <c r="AOQ569" s="8"/>
      <c r="AOR569" s="8"/>
      <c r="AOS569" s="8"/>
      <c r="AOT569" s="8"/>
      <c r="AOU569" s="8"/>
      <c r="AOV569" s="8"/>
      <c r="AOW569" s="8"/>
      <c r="AOX569" s="8"/>
      <c r="AOY569" s="8"/>
      <c r="AOZ569" s="8"/>
      <c r="APA569" s="8"/>
      <c r="APB569" s="8"/>
      <c r="APC569" s="8"/>
      <c r="APD569" s="8"/>
      <c r="APE569" s="8"/>
      <c r="APF569" s="8"/>
      <c r="APG569" s="8"/>
      <c r="APH569" s="8"/>
      <c r="API569" s="8"/>
      <c r="APJ569" s="8"/>
      <c r="APK569" s="8"/>
      <c r="APL569" s="8"/>
      <c r="APM569" s="8"/>
      <c r="APN569" s="8"/>
      <c r="APO569" s="8"/>
      <c r="APP569" s="8"/>
      <c r="APQ569" s="8"/>
      <c r="APR569" s="8"/>
      <c r="APS569" s="8"/>
      <c r="APT569" s="8"/>
      <c r="APU569" s="8"/>
      <c r="APV569" s="8"/>
      <c r="APW569" s="8"/>
      <c r="APX569" s="8"/>
      <c r="APY569" s="8"/>
      <c r="APZ569" s="8"/>
      <c r="AQA569" s="8"/>
      <c r="AQB569" s="8"/>
      <c r="AQC569" s="8"/>
      <c r="AQD569" s="8"/>
      <c r="AQE569" s="8"/>
      <c r="AQF569" s="8"/>
      <c r="AQG569" s="8"/>
      <c r="AQH569" s="8"/>
      <c r="AQI569" s="8"/>
      <c r="AQJ569" s="8"/>
      <c r="AQK569" s="8"/>
      <c r="AQL569" s="8"/>
      <c r="AQM569" s="8"/>
      <c r="AQN569" s="8"/>
      <c r="AQO569" s="8"/>
      <c r="AQP569" s="8"/>
      <c r="AQQ569" s="8"/>
      <c r="AQR569" s="8"/>
      <c r="AQS569" s="8"/>
      <c r="AQT569" s="8"/>
      <c r="AQU569" s="8"/>
      <c r="AQV569" s="8"/>
      <c r="AQW569" s="8"/>
      <c r="AQX569" s="8"/>
      <c r="AQY569" s="8"/>
      <c r="AQZ569" s="8"/>
      <c r="ARA569" s="8"/>
      <c r="ARB569" s="8"/>
      <c r="ARC569" s="8"/>
      <c r="ARD569" s="8"/>
      <c r="ARE569" s="8"/>
      <c r="ARF569" s="8"/>
      <c r="ARG569" s="8"/>
      <c r="ARH569" s="8"/>
      <c r="ARI569" s="8"/>
      <c r="ARJ569" s="8"/>
      <c r="ARK569" s="8"/>
      <c r="ARL569" s="8"/>
      <c r="ARM569" s="8"/>
      <c r="ARN569" s="8"/>
      <c r="ARO569" s="8"/>
      <c r="ARP569" s="8"/>
      <c r="ARQ569" s="8"/>
      <c r="ARR569" s="8"/>
      <c r="ARS569" s="8"/>
      <c r="ART569" s="8"/>
      <c r="ARU569" s="8"/>
      <c r="ARV569" s="8"/>
      <c r="ARW569" s="8"/>
      <c r="ARX569" s="8"/>
      <c r="ARY569" s="8"/>
      <c r="ARZ569" s="8"/>
      <c r="ASA569" s="8"/>
      <c r="ASB569" s="8"/>
      <c r="ASC569" s="8"/>
      <c r="ASD569" s="8"/>
      <c r="ASE569" s="8"/>
      <c r="ASF569" s="8"/>
      <c r="ASG569" s="8"/>
      <c r="ASH569" s="8"/>
      <c r="ASI569" s="8"/>
      <c r="ASJ569" s="8"/>
      <c r="ASK569" s="8"/>
      <c r="ASL569" s="8"/>
      <c r="ASM569" s="8"/>
      <c r="ASN569" s="8"/>
      <c r="ASO569" s="8"/>
      <c r="ASP569" s="8"/>
      <c r="ASQ569" s="8"/>
      <c r="ASR569" s="8"/>
      <c r="ASS569" s="8"/>
      <c r="AST569" s="8"/>
      <c r="ASU569" s="8"/>
      <c r="ASV569" s="8"/>
      <c r="ASW569" s="8"/>
      <c r="ASX569" s="8"/>
      <c r="ASY569" s="8"/>
      <c r="ASZ569" s="8"/>
      <c r="ATA569" s="8"/>
      <c r="ATB569" s="8"/>
      <c r="ATC569" s="8"/>
      <c r="ATD569" s="8"/>
      <c r="ATE569" s="8"/>
      <c r="ATF569" s="8"/>
      <c r="ATG569" s="8"/>
      <c r="ATH569" s="8"/>
      <c r="ATI569" s="8"/>
      <c r="ATJ569" s="8"/>
      <c r="ATK569" s="8"/>
      <c r="ATL569" s="8"/>
      <c r="ATM569" s="8"/>
      <c r="ATN569" s="8"/>
      <c r="ATO569" s="8"/>
      <c r="ATP569" s="8"/>
      <c r="ATQ569" s="8"/>
      <c r="ATR569" s="8"/>
      <c r="ATS569" s="8"/>
      <c r="ATT569" s="8"/>
      <c r="ATU569" s="8"/>
      <c r="ATV569" s="8"/>
      <c r="ATW569" s="8"/>
      <c r="ATX569" s="8"/>
      <c r="ATY569" s="8"/>
      <c r="ATZ569" s="8"/>
      <c r="AUA569" s="8"/>
      <c r="AUB569" s="8"/>
      <c r="AUC569" s="8"/>
      <c r="AUD569" s="8"/>
      <c r="AUE569" s="8"/>
      <c r="AUF569" s="8"/>
      <c r="AUG569" s="8"/>
      <c r="AUH569" s="8"/>
      <c r="AUI569" s="8"/>
      <c r="AUJ569" s="8"/>
      <c r="AUK569" s="8"/>
      <c r="AUL569" s="8"/>
      <c r="AUM569" s="8"/>
      <c r="AUN569" s="8"/>
      <c r="AUO569" s="8"/>
      <c r="AUP569" s="8"/>
      <c r="AUQ569" s="8"/>
      <c r="AUR569" s="8"/>
      <c r="AUS569" s="8"/>
      <c r="AUT569" s="8"/>
      <c r="AUU569" s="8"/>
      <c r="AUV569" s="8"/>
      <c r="AUW569" s="8"/>
      <c r="AUX569" s="8"/>
      <c r="AUY569" s="8"/>
      <c r="AUZ569" s="8"/>
      <c r="AVA569" s="8"/>
      <c r="AVB569" s="8"/>
      <c r="AVC569" s="8"/>
      <c r="AVD569" s="8"/>
      <c r="AVE569" s="8"/>
      <c r="AVF569" s="8"/>
      <c r="AVG569" s="8"/>
      <c r="AVH569" s="8"/>
      <c r="AVI569" s="8"/>
      <c r="AVJ569" s="8"/>
      <c r="AVK569" s="8"/>
      <c r="AVL569" s="8"/>
      <c r="AVM569" s="8"/>
      <c r="AVN569" s="8"/>
      <c r="AVO569" s="8"/>
      <c r="AVP569" s="8"/>
      <c r="AVQ569" s="8"/>
      <c r="AVR569" s="8"/>
      <c r="AVS569" s="8"/>
      <c r="AVT569" s="8"/>
      <c r="AVU569" s="8"/>
      <c r="AVV569" s="8"/>
      <c r="AVW569" s="8"/>
      <c r="AVX569" s="8"/>
      <c r="AVY569" s="8"/>
      <c r="AVZ569" s="8"/>
      <c r="AWA569" s="8"/>
      <c r="AWB569" s="8"/>
      <c r="AWC569" s="8"/>
      <c r="AWD569" s="8"/>
      <c r="AWE569" s="8"/>
      <c r="AWF569" s="8"/>
      <c r="AWG569" s="8"/>
      <c r="AWH569" s="8"/>
      <c r="AWI569" s="8"/>
      <c r="AWJ569" s="8"/>
      <c r="AWK569" s="8"/>
      <c r="AWL569" s="8"/>
      <c r="AWM569" s="8"/>
      <c r="AWN569" s="8"/>
      <c r="AWO569" s="8"/>
      <c r="AWP569" s="8"/>
      <c r="AWQ569" s="8"/>
      <c r="AWR569" s="8"/>
      <c r="AWS569" s="8"/>
      <c r="AWT569" s="8"/>
      <c r="AWU569" s="8"/>
      <c r="AWV569" s="8"/>
      <c r="AWW569" s="8"/>
      <c r="AWX569" s="8"/>
      <c r="AWY569" s="8"/>
      <c r="AWZ569" s="8"/>
      <c r="AXA569" s="8"/>
      <c r="AXB569" s="8"/>
      <c r="AXC569" s="8"/>
      <c r="AXD569" s="8"/>
      <c r="AXE569" s="8"/>
      <c r="AXF569" s="8"/>
      <c r="AXG569" s="8"/>
      <c r="AXH569" s="8"/>
      <c r="AXI569" s="8"/>
      <c r="AXJ569" s="8"/>
      <c r="AXK569" s="8"/>
      <c r="AXL569" s="8"/>
      <c r="AXM569" s="8"/>
      <c r="AXN569" s="8"/>
      <c r="AXO569" s="8"/>
      <c r="AXP569" s="8"/>
      <c r="AXQ569" s="8"/>
      <c r="AXR569" s="8"/>
      <c r="AXS569" s="8"/>
      <c r="AXT569" s="8"/>
      <c r="AXU569" s="8"/>
      <c r="AXV569" s="8"/>
      <c r="AXW569" s="8"/>
      <c r="AXX569" s="8"/>
      <c r="AXY569" s="8"/>
      <c r="AXZ569" s="8"/>
      <c r="AYA569" s="8"/>
      <c r="AYB569" s="8"/>
      <c r="AYC569" s="8"/>
      <c r="AYD569" s="8"/>
      <c r="AYE569" s="8"/>
      <c r="AYF569" s="8"/>
      <c r="AYG569" s="8"/>
      <c r="AYH569" s="8"/>
      <c r="AYI569" s="8"/>
      <c r="AYJ569" s="8"/>
      <c r="AYK569" s="8"/>
      <c r="AYL569" s="8"/>
      <c r="AYM569" s="8"/>
      <c r="AYN569" s="8"/>
      <c r="AYO569" s="8"/>
      <c r="AYP569" s="8"/>
      <c r="AYQ569" s="8"/>
      <c r="AYR569" s="8"/>
      <c r="AYS569" s="8"/>
      <c r="AYT569" s="8"/>
      <c r="AYU569" s="8"/>
      <c r="AYV569" s="8"/>
      <c r="AYW569" s="8"/>
      <c r="AYX569" s="8"/>
      <c r="AYY569" s="8"/>
      <c r="AYZ569" s="8"/>
      <c r="AZA569" s="8"/>
      <c r="AZB569" s="8"/>
      <c r="AZC569" s="8"/>
      <c r="AZD569" s="8"/>
      <c r="AZE569" s="8"/>
      <c r="AZF569" s="8"/>
      <c r="AZG569" s="8"/>
      <c r="AZH569" s="8"/>
      <c r="AZI569" s="8"/>
      <c r="AZJ569" s="8"/>
      <c r="AZK569" s="8"/>
      <c r="AZL569" s="8"/>
      <c r="AZM569" s="8"/>
      <c r="AZN569" s="8"/>
      <c r="AZO569" s="8"/>
      <c r="AZP569" s="8"/>
      <c r="AZQ569" s="8"/>
      <c r="AZR569" s="8"/>
      <c r="AZS569" s="8"/>
      <c r="AZT569" s="8"/>
      <c r="AZU569" s="8"/>
      <c r="AZV569" s="8"/>
      <c r="AZW569" s="8"/>
      <c r="AZX569" s="8"/>
      <c r="AZY569" s="8"/>
      <c r="AZZ569" s="8"/>
      <c r="BAA569" s="8"/>
      <c r="BAB569" s="8"/>
      <c r="BAC569" s="8"/>
      <c r="BAD569" s="8"/>
      <c r="BAE569" s="8"/>
      <c r="BAF569" s="8"/>
      <c r="BAG569" s="8"/>
      <c r="BAH569" s="8"/>
      <c r="BAI569" s="8"/>
      <c r="BAJ569" s="8"/>
      <c r="BAK569" s="8"/>
      <c r="BAL569" s="8"/>
      <c r="BAM569" s="8"/>
      <c r="BAN569" s="8"/>
      <c r="BAO569" s="8"/>
      <c r="BAP569" s="8"/>
      <c r="BAQ569" s="8"/>
      <c r="BAR569" s="8"/>
      <c r="BAS569" s="8"/>
      <c r="BAT569" s="8"/>
      <c r="BAU569" s="8"/>
      <c r="BAV569" s="8"/>
      <c r="BAW569" s="8"/>
      <c r="BAX569" s="8"/>
      <c r="BAY569" s="8"/>
      <c r="BAZ569" s="8"/>
      <c r="BBA569" s="8"/>
      <c r="BBB569" s="8"/>
      <c r="BBC569" s="8"/>
      <c r="BBD569" s="8"/>
      <c r="BBE569" s="8"/>
      <c r="BBF569" s="8"/>
      <c r="BBG569" s="8"/>
      <c r="BBH569" s="8"/>
      <c r="BBI569" s="8"/>
      <c r="BBJ569" s="8"/>
      <c r="BBK569" s="8"/>
      <c r="BBL569" s="8"/>
      <c r="BBM569" s="8"/>
      <c r="BBN569" s="8"/>
      <c r="BBO569" s="8"/>
      <c r="BBP569" s="8"/>
      <c r="BBQ569" s="8"/>
      <c r="BBR569" s="8"/>
      <c r="BBS569" s="8"/>
      <c r="BBT569" s="8"/>
      <c r="BBU569" s="8"/>
      <c r="BBV569" s="8"/>
      <c r="BBW569" s="8"/>
      <c r="BBX569" s="8"/>
      <c r="BBY569" s="8"/>
      <c r="BBZ569" s="8"/>
      <c r="BCA569" s="8"/>
      <c r="BCB569" s="8"/>
      <c r="BCC569" s="8"/>
      <c r="BCD569" s="8"/>
      <c r="BCE569" s="8"/>
      <c r="BCF569" s="8"/>
      <c r="BCG569" s="8"/>
      <c r="BCH569" s="8"/>
      <c r="BCI569" s="8"/>
      <c r="BCJ569" s="8"/>
      <c r="BCK569" s="8"/>
      <c r="BCL569" s="8"/>
      <c r="BCM569" s="8"/>
      <c r="BCN569" s="8"/>
      <c r="BCO569" s="8"/>
      <c r="BCP569" s="8"/>
      <c r="BCQ569" s="8"/>
      <c r="BCR569" s="8"/>
      <c r="BCS569" s="8"/>
      <c r="BCT569" s="8"/>
      <c r="BCU569" s="8"/>
      <c r="BCV569" s="8"/>
      <c r="BCW569" s="8"/>
      <c r="BCX569" s="8"/>
      <c r="BCY569" s="8"/>
      <c r="BCZ569" s="8"/>
      <c r="BDA569" s="8"/>
      <c r="BDB569" s="8"/>
      <c r="BDC569" s="8"/>
      <c r="BDD569" s="8"/>
      <c r="BDE569" s="8"/>
      <c r="BDF569" s="8"/>
      <c r="BDG569" s="8"/>
      <c r="BDH569" s="8"/>
      <c r="BDI569" s="8"/>
      <c r="BDJ569" s="8"/>
      <c r="BDK569" s="8"/>
      <c r="BDL569" s="8"/>
      <c r="BDM569" s="8"/>
      <c r="BDN569" s="8"/>
      <c r="BDO569" s="8"/>
      <c r="BDP569" s="8"/>
      <c r="BDQ569" s="8"/>
      <c r="BDR569" s="8"/>
      <c r="BDS569" s="8"/>
      <c r="BDT569" s="8"/>
      <c r="BDU569" s="8"/>
      <c r="BDV569" s="8"/>
      <c r="BDW569" s="8"/>
      <c r="BDX569" s="8"/>
      <c r="BDY569" s="8"/>
      <c r="BDZ569" s="8"/>
      <c r="BEA569" s="8"/>
      <c r="BEB569" s="8"/>
      <c r="BEC569" s="8"/>
      <c r="BED569" s="8"/>
      <c r="BEE569" s="8"/>
      <c r="BEF569" s="8"/>
      <c r="BEG569" s="8"/>
      <c r="BEH569" s="8"/>
      <c r="BEI569" s="8"/>
      <c r="BEJ569" s="8"/>
      <c r="BEK569" s="8"/>
      <c r="BEL569" s="8"/>
      <c r="BEM569" s="8"/>
      <c r="BEN569" s="8"/>
      <c r="BEO569" s="8"/>
      <c r="BEP569" s="8"/>
      <c r="BEQ569" s="8"/>
      <c r="BER569" s="8"/>
      <c r="BES569" s="8"/>
      <c r="BET569" s="8"/>
      <c r="BEU569" s="8"/>
      <c r="BEV569" s="8"/>
      <c r="BEW569" s="8"/>
      <c r="BEX569" s="8"/>
      <c r="BEY569" s="8"/>
      <c r="BEZ569" s="8"/>
      <c r="BFA569" s="8"/>
      <c r="BFB569" s="8"/>
      <c r="BFC569" s="8"/>
      <c r="BFD569" s="8"/>
      <c r="BFE569" s="8"/>
      <c r="BFF569" s="8"/>
      <c r="BFG569" s="8"/>
      <c r="BFH569" s="8"/>
      <c r="BFI569" s="8"/>
      <c r="BFJ569" s="8"/>
      <c r="BFK569" s="8"/>
      <c r="BFL569" s="8"/>
      <c r="BFM569" s="8"/>
      <c r="BFN569" s="8"/>
      <c r="BFO569" s="8"/>
      <c r="BFP569" s="8"/>
      <c r="BFQ569" s="8"/>
      <c r="BFR569" s="8"/>
      <c r="BFS569" s="8"/>
      <c r="BFT569" s="8"/>
      <c r="BFU569" s="8"/>
      <c r="BFV569" s="8"/>
      <c r="BFW569" s="8"/>
      <c r="BFX569" s="8"/>
      <c r="BFY569" s="8"/>
      <c r="BFZ569" s="8"/>
      <c r="BGA569" s="8"/>
      <c r="BGB569" s="8"/>
      <c r="BGC569" s="8"/>
      <c r="BGD569" s="8"/>
      <c r="BGE569" s="8"/>
      <c r="BGF569" s="8"/>
      <c r="BGG569" s="8"/>
      <c r="BGH569" s="8"/>
      <c r="BGI569" s="8"/>
      <c r="BGJ569" s="8"/>
      <c r="BGK569" s="8"/>
      <c r="BGL569" s="8"/>
      <c r="BGM569" s="8"/>
      <c r="BGN569" s="8"/>
      <c r="BGO569" s="8"/>
      <c r="BGP569" s="8"/>
      <c r="BGQ569" s="8"/>
      <c r="BGR569" s="8"/>
      <c r="BGS569" s="8"/>
      <c r="BGT569" s="8"/>
      <c r="BGU569" s="8"/>
      <c r="BGV569" s="8"/>
      <c r="BGW569" s="8"/>
      <c r="BGX569" s="8"/>
      <c r="BGY569" s="8"/>
      <c r="BGZ569" s="8"/>
      <c r="BHA569" s="8"/>
      <c r="BHB569" s="8"/>
      <c r="BHC569" s="8"/>
      <c r="BHD569" s="8"/>
      <c r="BHE569" s="8"/>
      <c r="BHF569" s="8"/>
      <c r="BHG569" s="8"/>
      <c r="BHH569" s="8"/>
      <c r="BHI569" s="8"/>
      <c r="BHJ569" s="8"/>
      <c r="BHK569" s="8"/>
      <c r="BHL569" s="8"/>
      <c r="BHM569" s="8"/>
      <c r="BHN569" s="8"/>
      <c r="BHO569" s="8"/>
      <c r="BHP569" s="8"/>
      <c r="BHQ569" s="8"/>
      <c r="BHR569" s="8"/>
      <c r="BHS569" s="8"/>
      <c r="BHT569" s="8"/>
      <c r="BHU569" s="8"/>
      <c r="BHV569" s="8"/>
      <c r="BHW569" s="8"/>
      <c r="BHX569" s="8"/>
      <c r="BHY569" s="8"/>
      <c r="BHZ569" s="8"/>
      <c r="BIA569" s="8"/>
      <c r="BIB569" s="8"/>
      <c r="BIC569" s="8"/>
      <c r="BID569" s="8"/>
      <c r="BIE569" s="8"/>
      <c r="BIF569" s="8"/>
      <c r="BIG569" s="8"/>
      <c r="BIH569" s="8"/>
      <c r="BII569" s="8"/>
      <c r="BIJ569" s="8"/>
      <c r="BIK569" s="8"/>
      <c r="BIL569" s="8"/>
      <c r="BIM569" s="8"/>
      <c r="BIN569" s="8"/>
      <c r="BIO569" s="8"/>
      <c r="BIP569" s="8"/>
      <c r="BIQ569" s="8"/>
      <c r="BIR569" s="8"/>
      <c r="BIS569" s="8"/>
      <c r="BIT569" s="8"/>
      <c r="BIU569" s="8"/>
      <c r="BIV569" s="8"/>
      <c r="BIW569" s="8"/>
      <c r="BIX569" s="8"/>
      <c r="BIY569" s="8"/>
      <c r="BIZ569" s="8"/>
      <c r="BJA569" s="8"/>
      <c r="BJB569" s="8"/>
      <c r="BJC569" s="8"/>
      <c r="BJD569" s="8"/>
      <c r="BJE569" s="8"/>
      <c r="BJF569" s="8"/>
      <c r="BJG569" s="8"/>
      <c r="BJH569" s="8"/>
      <c r="BJI569" s="8"/>
      <c r="BJJ569" s="8"/>
      <c r="BJK569" s="8"/>
      <c r="BJL569" s="8"/>
      <c r="BJM569" s="8"/>
      <c r="BJN569" s="8"/>
      <c r="BJO569" s="8"/>
      <c r="BJP569" s="8"/>
      <c r="BJQ569" s="8"/>
      <c r="BJR569" s="8"/>
      <c r="BJS569" s="8"/>
      <c r="BJT569" s="8"/>
      <c r="BJU569" s="8"/>
      <c r="BJV569" s="8"/>
      <c r="BJW569" s="8"/>
      <c r="BJX569" s="8"/>
      <c r="BJY569" s="8"/>
      <c r="BJZ569" s="8"/>
      <c r="BKA569" s="8"/>
      <c r="BKB569" s="8"/>
      <c r="BKC569" s="8"/>
      <c r="BKD569" s="8"/>
      <c r="BKE569" s="8"/>
      <c r="BKF569" s="8"/>
      <c r="BKG569" s="8"/>
      <c r="BKH569" s="8"/>
      <c r="BKI569" s="8"/>
      <c r="BKJ569" s="8"/>
      <c r="BKK569" s="8"/>
      <c r="BKL569" s="8"/>
      <c r="BKM569" s="8"/>
      <c r="BKN569" s="8"/>
      <c r="BKO569" s="8"/>
      <c r="BKP569" s="8"/>
      <c r="BKQ569" s="8"/>
      <c r="BKR569" s="8"/>
      <c r="BKS569" s="8"/>
      <c r="BKT569" s="8"/>
      <c r="BKU569" s="8"/>
      <c r="BKV569" s="8"/>
      <c r="BKW569" s="8"/>
      <c r="BKX569" s="8"/>
      <c r="BKY569" s="8"/>
      <c r="BKZ569" s="8"/>
      <c r="BLA569" s="8"/>
      <c r="BLB569" s="8"/>
      <c r="BLC569" s="8"/>
      <c r="BLD569" s="8"/>
      <c r="BLE569" s="8"/>
      <c r="BLF569" s="8"/>
      <c r="BLG569" s="8"/>
      <c r="BLH569" s="8"/>
      <c r="BLI569" s="8"/>
      <c r="BLJ569" s="8"/>
      <c r="BLK569" s="8"/>
      <c r="BLL569" s="8"/>
      <c r="BLM569" s="8"/>
      <c r="BLN569" s="8"/>
      <c r="BLO569" s="8"/>
      <c r="BLP569" s="8"/>
      <c r="BLQ569" s="8"/>
      <c r="BLR569" s="8"/>
      <c r="BLS569" s="8"/>
      <c r="BLT569" s="8"/>
      <c r="BLU569" s="8"/>
      <c r="BLV569" s="8"/>
      <c r="BLW569" s="8"/>
      <c r="BLX569" s="8"/>
      <c r="BLY569" s="8"/>
      <c r="BLZ569" s="8"/>
      <c r="BMA569" s="8"/>
      <c r="BMB569" s="8"/>
      <c r="BMC569" s="8"/>
      <c r="BMD569" s="8"/>
      <c r="BME569" s="8"/>
      <c r="BMF569" s="8"/>
      <c r="BMG569" s="8"/>
      <c r="BMH569" s="8"/>
      <c r="BMI569" s="8"/>
      <c r="BMJ569" s="8"/>
      <c r="BMK569" s="8"/>
      <c r="BML569" s="8"/>
      <c r="BMM569" s="8"/>
      <c r="BMN569" s="8"/>
      <c r="BMO569" s="8"/>
      <c r="BMP569" s="8"/>
      <c r="BMQ569" s="8"/>
      <c r="BMR569" s="8"/>
      <c r="BMS569" s="8"/>
      <c r="BMT569" s="8"/>
      <c r="BMU569" s="8"/>
      <c r="BMV569" s="8"/>
      <c r="BMW569" s="8"/>
      <c r="BMX569" s="8"/>
      <c r="BMY569" s="8"/>
      <c r="BMZ569" s="8"/>
      <c r="BNA569" s="8"/>
      <c r="BNB569" s="8"/>
      <c r="BNC569" s="8"/>
      <c r="BND569" s="8"/>
      <c r="BNE569" s="8"/>
      <c r="BNF569" s="8"/>
      <c r="BNG569" s="8"/>
      <c r="BNH569" s="8"/>
      <c r="BNI569" s="8"/>
      <c r="BNJ569" s="8"/>
      <c r="BNK569" s="8"/>
      <c r="BNL569" s="8"/>
      <c r="BNM569" s="8"/>
      <c r="BNN569" s="8"/>
      <c r="BNO569" s="8"/>
      <c r="BNP569" s="8"/>
      <c r="BNQ569" s="8"/>
      <c r="BNR569" s="8"/>
      <c r="BNS569" s="8"/>
      <c r="BNT569" s="8"/>
      <c r="BNU569" s="8"/>
      <c r="BNV569" s="8"/>
      <c r="BNW569" s="8"/>
      <c r="BNX569" s="8"/>
      <c r="BNY569" s="8"/>
      <c r="BNZ569" s="8"/>
      <c r="BOA569" s="8"/>
      <c r="BOB569" s="8"/>
      <c r="BOC569" s="8"/>
      <c r="BOD569" s="8"/>
      <c r="BOE569" s="8"/>
      <c r="BOF569" s="8"/>
      <c r="BOG569" s="8"/>
      <c r="BOH569" s="8"/>
      <c r="BOI569" s="8"/>
      <c r="BOJ569" s="8"/>
      <c r="BOK569" s="8"/>
      <c r="BOL569" s="8"/>
      <c r="BOM569" s="8"/>
      <c r="BON569" s="8"/>
      <c r="BOO569" s="8"/>
      <c r="BOP569" s="8"/>
      <c r="BOQ569" s="8"/>
      <c r="BOR569" s="8"/>
      <c r="BOS569" s="8"/>
      <c r="BOT569" s="8"/>
      <c r="BOU569" s="8"/>
      <c r="BOV569" s="8"/>
      <c r="BOW569" s="8"/>
      <c r="BOX569" s="8"/>
      <c r="BOY569" s="8"/>
      <c r="BOZ569" s="8"/>
      <c r="BPA569" s="8"/>
      <c r="BPB569" s="8"/>
      <c r="BPC569" s="8"/>
      <c r="BPD569" s="8"/>
      <c r="BPE569" s="8"/>
      <c r="BPF569" s="8"/>
      <c r="BPG569" s="8"/>
      <c r="BPH569" s="8"/>
      <c r="BPI569" s="8"/>
      <c r="BPJ569" s="8"/>
      <c r="BPK569" s="8"/>
      <c r="BPL569" s="8"/>
      <c r="BPM569" s="8"/>
      <c r="BPN569" s="8"/>
      <c r="BPO569" s="8"/>
      <c r="BPP569" s="8"/>
      <c r="BPQ569" s="8"/>
      <c r="BPR569" s="8"/>
      <c r="BPS569" s="8"/>
      <c r="BPT569" s="8"/>
      <c r="BPU569" s="8"/>
      <c r="BPV569" s="8"/>
      <c r="BPW569" s="8"/>
      <c r="BPX569" s="8"/>
      <c r="BPY569" s="8"/>
      <c r="BPZ569" s="8"/>
      <c r="BQA569" s="8"/>
      <c r="BQB569" s="8"/>
      <c r="BQC569" s="8"/>
      <c r="BQD569" s="8"/>
      <c r="BQE569" s="8"/>
      <c r="BQF569" s="8"/>
      <c r="BQG569" s="8"/>
      <c r="BQH569" s="8"/>
      <c r="BQI569" s="8"/>
      <c r="BQJ569" s="8"/>
      <c r="BQK569" s="8"/>
      <c r="BQL569" s="8"/>
      <c r="BQM569" s="8"/>
      <c r="BQN569" s="8"/>
      <c r="BQO569" s="8"/>
      <c r="BQP569" s="8"/>
      <c r="BQQ569" s="8"/>
      <c r="BQR569" s="8"/>
      <c r="BQS569" s="8"/>
      <c r="BQT569" s="8"/>
      <c r="BQU569" s="8"/>
      <c r="BQV569" s="8"/>
      <c r="BQW569" s="8"/>
      <c r="BQX569" s="8"/>
      <c r="BQY569" s="8"/>
      <c r="BQZ569" s="8"/>
      <c r="BRA569" s="8"/>
      <c r="BRB569" s="8"/>
      <c r="BRC569" s="8"/>
      <c r="BRD569" s="8"/>
      <c r="BRE569" s="8"/>
      <c r="BRF569" s="8"/>
      <c r="BRG569" s="8"/>
      <c r="BRH569" s="8"/>
      <c r="BRI569" s="8"/>
      <c r="BRJ569" s="8"/>
      <c r="BRK569" s="8"/>
      <c r="BRL569" s="8"/>
      <c r="BRM569" s="8"/>
      <c r="BRN569" s="8"/>
      <c r="BRO569" s="8"/>
      <c r="BRP569" s="8"/>
      <c r="BRQ569" s="8"/>
      <c r="BRR569" s="8"/>
      <c r="BRS569" s="8"/>
      <c r="BRT569" s="8"/>
      <c r="BRU569" s="8"/>
      <c r="BRV569" s="8"/>
      <c r="BRW569" s="8"/>
      <c r="BRX569" s="8"/>
      <c r="BRY569" s="8"/>
      <c r="BRZ569" s="8"/>
      <c r="BSA569" s="8"/>
      <c r="BSB569" s="8"/>
      <c r="BSC569" s="8"/>
      <c r="BSD569" s="8"/>
      <c r="BSE569" s="8"/>
      <c r="BSF569" s="8"/>
      <c r="BSG569" s="8"/>
      <c r="BSH569" s="8"/>
      <c r="BSI569" s="8"/>
      <c r="BSJ569" s="8"/>
      <c r="BSK569" s="8"/>
      <c r="BSL569" s="8"/>
      <c r="BSM569" s="8"/>
      <c r="BSN569" s="8"/>
      <c r="BSO569" s="8"/>
      <c r="BSP569" s="8"/>
      <c r="BSQ569" s="8"/>
      <c r="BSR569" s="8"/>
      <c r="BSS569" s="8"/>
      <c r="BST569" s="8"/>
      <c r="BSU569" s="8"/>
      <c r="BSV569" s="8"/>
      <c r="BSW569" s="8"/>
      <c r="BSX569" s="8"/>
      <c r="BSY569" s="8"/>
      <c r="BSZ569" s="8"/>
      <c r="BTA569" s="8"/>
      <c r="BTB569" s="8"/>
      <c r="BTC569" s="8"/>
      <c r="BTD569" s="8"/>
      <c r="BTE569" s="8"/>
      <c r="BTF569" s="8"/>
      <c r="BTG569" s="8"/>
      <c r="BTH569" s="8"/>
      <c r="BTI569" s="8"/>
      <c r="BTJ569" s="8"/>
      <c r="BTK569" s="8"/>
      <c r="BTL569" s="8"/>
      <c r="BTM569" s="8"/>
      <c r="BTN569" s="8"/>
      <c r="BTO569" s="8"/>
      <c r="BTP569" s="8"/>
      <c r="BTQ569" s="8"/>
      <c r="BTR569" s="8"/>
      <c r="BTS569" s="8"/>
      <c r="BTT569" s="8"/>
      <c r="BTU569" s="8"/>
      <c r="BTV569" s="8"/>
      <c r="BTW569" s="8"/>
      <c r="BTX569" s="8"/>
      <c r="BTY569" s="8"/>
      <c r="BTZ569" s="8"/>
      <c r="BUA569" s="8"/>
      <c r="BUB569" s="8"/>
      <c r="BUC569" s="8"/>
      <c r="BUD569" s="8"/>
      <c r="BUE569" s="8"/>
      <c r="BUF569" s="8"/>
      <c r="BUG569" s="8"/>
      <c r="BUH569" s="8"/>
      <c r="BUI569" s="8"/>
      <c r="BUJ569" s="8"/>
      <c r="BUK569" s="8"/>
      <c r="BUL569" s="8"/>
      <c r="BUM569" s="8"/>
      <c r="BUN569" s="8"/>
      <c r="BUO569" s="8"/>
      <c r="BUP569" s="8"/>
      <c r="BUQ569" s="8"/>
      <c r="BUR569" s="8"/>
      <c r="BUS569" s="8"/>
      <c r="BUT569" s="8"/>
      <c r="BUU569" s="8"/>
      <c r="BUV569" s="8"/>
      <c r="BUW569" s="8"/>
      <c r="BUX569" s="8"/>
      <c r="BUY569" s="8"/>
      <c r="BUZ569" s="8"/>
      <c r="BVA569" s="8"/>
      <c r="BVB569" s="8"/>
      <c r="BVC569" s="8"/>
      <c r="BVD569" s="8"/>
      <c r="BVE569" s="8"/>
      <c r="BVF569" s="8"/>
      <c r="BVG569" s="8"/>
      <c r="BVH569" s="8"/>
      <c r="BVI569" s="8"/>
      <c r="BVJ569" s="8"/>
      <c r="BVK569" s="8"/>
      <c r="BVL569" s="8"/>
      <c r="BVM569" s="8"/>
      <c r="BVN569" s="8"/>
      <c r="BVO569" s="8"/>
      <c r="BVP569" s="8"/>
      <c r="BVQ569" s="8"/>
      <c r="BVR569" s="8"/>
      <c r="BVS569" s="8"/>
      <c r="BVT569" s="8"/>
      <c r="BVU569" s="8"/>
      <c r="BVV569" s="8"/>
      <c r="BVW569" s="8"/>
      <c r="BVX569" s="8"/>
      <c r="BVY569" s="8"/>
      <c r="BVZ569" s="8"/>
      <c r="BWA569" s="8"/>
      <c r="BWB569" s="8"/>
      <c r="BWC569" s="8"/>
      <c r="BWD569" s="8"/>
      <c r="BWE569" s="8"/>
      <c r="BWF569" s="8"/>
      <c r="BWG569" s="8"/>
      <c r="BWH569" s="8"/>
      <c r="BWI569" s="8"/>
      <c r="BWJ569" s="8"/>
      <c r="BWK569" s="8"/>
      <c r="BWL569" s="8"/>
      <c r="BWM569" s="8"/>
      <c r="BWN569" s="8"/>
      <c r="BWO569" s="8"/>
      <c r="BWP569" s="8"/>
      <c r="BWQ569" s="8"/>
      <c r="BWR569" s="8"/>
      <c r="BWS569" s="8"/>
      <c r="BWT569" s="8"/>
      <c r="BWU569" s="8"/>
      <c r="BWV569" s="8"/>
      <c r="BWW569" s="8"/>
      <c r="BWX569" s="8"/>
      <c r="BWY569" s="8"/>
      <c r="BWZ569" s="8"/>
      <c r="BXA569" s="8"/>
      <c r="BXB569" s="8"/>
      <c r="BXC569" s="8"/>
      <c r="BXD569" s="8"/>
      <c r="BXE569" s="8"/>
      <c r="BXF569" s="8"/>
      <c r="BXG569" s="8"/>
      <c r="BXH569" s="8"/>
      <c r="BXI569" s="8"/>
      <c r="BXJ569" s="8"/>
      <c r="BXK569" s="8"/>
      <c r="BXL569" s="8"/>
      <c r="BXM569" s="8"/>
      <c r="BXN569" s="8"/>
      <c r="BXO569" s="8"/>
      <c r="BXP569" s="8"/>
      <c r="BXQ569" s="8"/>
      <c r="BXR569" s="8"/>
      <c r="BXS569" s="8"/>
      <c r="BXT569" s="8"/>
      <c r="BXU569" s="8"/>
      <c r="BXV569" s="8"/>
      <c r="BXW569" s="8"/>
      <c r="BXX569" s="8"/>
      <c r="BXY569" s="8"/>
      <c r="BXZ569" s="8"/>
      <c r="BYA569" s="8"/>
      <c r="BYB569" s="8"/>
      <c r="BYC569" s="8"/>
      <c r="BYD569" s="8"/>
      <c r="BYE569" s="8"/>
      <c r="BYF569" s="8"/>
      <c r="BYG569" s="8"/>
      <c r="BYH569" s="8"/>
      <c r="BYI569" s="8"/>
      <c r="BYJ569" s="8"/>
      <c r="BYK569" s="8"/>
      <c r="BYL569" s="8"/>
      <c r="BYM569" s="8"/>
      <c r="BYN569" s="8"/>
      <c r="BYO569" s="8"/>
      <c r="BYP569" s="8"/>
      <c r="BYQ569" s="8"/>
      <c r="BYR569" s="8"/>
      <c r="BYS569" s="8"/>
      <c r="BYT569" s="8"/>
      <c r="BYU569" s="8"/>
      <c r="BYV569" s="8"/>
      <c r="BYW569" s="8"/>
      <c r="BYX569" s="8"/>
      <c r="BYY569" s="8"/>
      <c r="BYZ569" s="8"/>
      <c r="BZA569" s="8"/>
      <c r="BZB569" s="8"/>
      <c r="BZC569" s="8"/>
      <c r="BZD569" s="8"/>
      <c r="BZE569" s="8"/>
      <c r="BZF569" s="8"/>
      <c r="BZG569" s="8"/>
      <c r="BZH569" s="8"/>
      <c r="BZI569" s="8"/>
      <c r="BZJ569" s="8"/>
      <c r="BZK569" s="8"/>
      <c r="BZL569" s="8"/>
      <c r="BZM569" s="8"/>
      <c r="BZN569" s="8"/>
      <c r="BZO569" s="8"/>
      <c r="BZP569" s="8"/>
      <c r="BZQ569" s="8"/>
      <c r="BZR569" s="8"/>
      <c r="BZS569" s="8"/>
      <c r="BZT569" s="8"/>
      <c r="BZU569" s="8"/>
      <c r="BZV569" s="8"/>
      <c r="BZW569" s="8"/>
      <c r="BZX569" s="8"/>
      <c r="BZY569" s="8"/>
      <c r="BZZ569" s="8"/>
      <c r="CAA569" s="8"/>
      <c r="CAB569" s="8"/>
      <c r="CAC569" s="8"/>
      <c r="CAD569" s="8"/>
      <c r="CAE569" s="8"/>
      <c r="CAF569" s="8"/>
      <c r="CAG569" s="8"/>
      <c r="CAH569" s="8"/>
      <c r="CAI569" s="8"/>
      <c r="CAJ569" s="8"/>
      <c r="CAK569" s="8"/>
      <c r="CAL569" s="8"/>
      <c r="CAM569" s="8"/>
      <c r="CAN569" s="8"/>
      <c r="CAO569" s="8"/>
      <c r="CAP569" s="8"/>
      <c r="CAQ569" s="8"/>
      <c r="CAR569" s="8"/>
      <c r="CAS569" s="8"/>
      <c r="CAT569" s="8"/>
      <c r="CAU569" s="8"/>
      <c r="CAV569" s="8"/>
      <c r="CAW569" s="8"/>
      <c r="CAX569" s="8"/>
      <c r="CAY569" s="8"/>
      <c r="CAZ569" s="8"/>
      <c r="CBA569" s="8"/>
      <c r="CBB569" s="8"/>
      <c r="CBC569" s="8"/>
      <c r="CBD569" s="8"/>
      <c r="CBE569" s="8"/>
      <c r="CBF569" s="8"/>
      <c r="CBG569" s="8"/>
      <c r="CBH569" s="8"/>
      <c r="CBI569" s="8"/>
      <c r="CBJ569" s="8"/>
      <c r="CBK569" s="8"/>
      <c r="CBL569" s="8"/>
      <c r="CBM569" s="8"/>
      <c r="CBN569" s="8"/>
      <c r="CBO569" s="8"/>
      <c r="CBP569" s="8"/>
      <c r="CBQ569" s="8"/>
      <c r="CBR569" s="8"/>
      <c r="CBS569" s="8"/>
      <c r="CBT569" s="8"/>
      <c r="CBU569" s="8"/>
      <c r="CBV569" s="8"/>
      <c r="CBW569" s="8"/>
      <c r="CBX569" s="8"/>
      <c r="CBY569" s="8"/>
      <c r="CBZ569" s="8"/>
      <c r="CCA569" s="8"/>
      <c r="CCB569" s="8"/>
      <c r="CCC569" s="8"/>
      <c r="CCD569" s="8"/>
      <c r="CCE569" s="8"/>
      <c r="CCF569" s="8"/>
      <c r="CCG569" s="8"/>
      <c r="CCH569" s="8"/>
      <c r="CCI569" s="8"/>
      <c r="CCJ569" s="8"/>
      <c r="CCK569" s="8"/>
      <c r="CCL569" s="8"/>
      <c r="CCM569" s="8"/>
      <c r="CCN569" s="8"/>
      <c r="CCO569" s="8"/>
      <c r="CCP569" s="8"/>
      <c r="CCQ569" s="8"/>
      <c r="CCR569" s="8"/>
      <c r="CCS569" s="8"/>
      <c r="CCT569" s="8"/>
      <c r="CCU569" s="8"/>
      <c r="CCV569" s="8"/>
      <c r="CCW569" s="8"/>
      <c r="CCX569" s="8"/>
      <c r="CCY569" s="8"/>
      <c r="CCZ569" s="8"/>
      <c r="CDA569" s="8"/>
      <c r="CDB569" s="8"/>
      <c r="CDC569" s="8"/>
      <c r="CDD569" s="8"/>
      <c r="CDE569" s="8"/>
      <c r="CDF569" s="8"/>
      <c r="CDG569" s="8"/>
      <c r="CDH569" s="8"/>
      <c r="CDI569" s="8"/>
      <c r="CDJ569" s="8"/>
      <c r="CDK569" s="8"/>
      <c r="CDL569" s="8"/>
      <c r="CDM569" s="8"/>
      <c r="CDN569" s="8"/>
      <c r="CDO569" s="8"/>
      <c r="CDP569" s="8"/>
      <c r="CDQ569" s="8"/>
      <c r="CDR569" s="8"/>
      <c r="CDS569" s="8"/>
      <c r="CDT569" s="8"/>
      <c r="CDU569" s="8"/>
      <c r="CDV569" s="8"/>
      <c r="CDW569" s="8"/>
      <c r="CDX569" s="8"/>
      <c r="CDY569" s="8"/>
      <c r="CDZ569" s="8"/>
      <c r="CEA569" s="8"/>
      <c r="CEB569" s="8"/>
      <c r="CEC569" s="8"/>
      <c r="CED569" s="8"/>
      <c r="CEE569" s="8"/>
      <c r="CEF569" s="8"/>
      <c r="CEG569" s="8"/>
      <c r="CEH569" s="8"/>
      <c r="CEI569" s="8"/>
      <c r="CEJ569" s="8"/>
      <c r="CEK569" s="8"/>
      <c r="CEL569" s="8"/>
      <c r="CEM569" s="8"/>
      <c r="CEN569" s="8"/>
      <c r="CEO569" s="8"/>
      <c r="CEP569" s="8"/>
      <c r="CEQ569" s="8"/>
      <c r="CER569" s="8"/>
      <c r="CES569" s="8"/>
      <c r="CET569" s="8"/>
      <c r="CEU569" s="8"/>
      <c r="CEV569" s="8"/>
      <c r="CEW569" s="8"/>
      <c r="CEX569" s="8"/>
      <c r="CEY569" s="8"/>
      <c r="CEZ569" s="8"/>
      <c r="CFA569" s="8"/>
      <c r="CFB569" s="8"/>
      <c r="CFC569" s="8"/>
      <c r="CFD569" s="8"/>
      <c r="CFE569" s="8"/>
      <c r="CFF569" s="8"/>
      <c r="CFG569" s="8"/>
      <c r="CFH569" s="8"/>
      <c r="CFI569" s="8"/>
      <c r="CFJ569" s="8"/>
      <c r="CFK569" s="8"/>
      <c r="CFL569" s="8"/>
      <c r="CFM569" s="8"/>
      <c r="CFN569" s="8"/>
      <c r="CFO569" s="8"/>
      <c r="CFP569" s="8"/>
      <c r="CFQ569" s="8"/>
      <c r="CFR569" s="8"/>
      <c r="CFS569" s="8"/>
      <c r="CFT569" s="8"/>
      <c r="CFU569" s="8"/>
      <c r="CFV569" s="8"/>
      <c r="CFW569" s="8"/>
      <c r="CFX569" s="8"/>
      <c r="CFY569" s="8"/>
      <c r="CFZ569" s="8"/>
      <c r="CGA569" s="8"/>
      <c r="CGB569" s="8"/>
      <c r="CGC569" s="8"/>
      <c r="CGD569" s="8"/>
      <c r="CGE569" s="8"/>
      <c r="CGF569" s="8"/>
      <c r="CGG569" s="8"/>
      <c r="CGH569" s="8"/>
      <c r="CGI569" s="8"/>
      <c r="CGJ569" s="8"/>
      <c r="CGK569" s="8"/>
      <c r="CGL569" s="8"/>
      <c r="CGM569" s="8"/>
      <c r="CGN569" s="8"/>
      <c r="CGO569" s="8"/>
      <c r="CGP569" s="8"/>
      <c r="CGQ569" s="8"/>
      <c r="CGR569" s="8"/>
      <c r="CGS569" s="8"/>
      <c r="CGT569" s="8"/>
      <c r="CGU569" s="8"/>
      <c r="CGV569" s="8"/>
      <c r="CGW569" s="8"/>
      <c r="CGX569" s="8"/>
      <c r="CGY569" s="8"/>
      <c r="CGZ569" s="8"/>
      <c r="CHA569" s="8"/>
      <c r="CHB569" s="8"/>
      <c r="CHC569" s="8"/>
      <c r="CHD569" s="8"/>
      <c r="CHE569" s="8"/>
      <c r="CHF569" s="8"/>
      <c r="CHG569" s="8"/>
      <c r="CHH569" s="8"/>
      <c r="CHI569" s="8"/>
      <c r="CHJ569" s="8"/>
      <c r="CHK569" s="8"/>
      <c r="CHL569" s="8"/>
      <c r="CHM569" s="8"/>
      <c r="CHN569" s="8"/>
      <c r="CHO569" s="8"/>
      <c r="CHP569" s="8"/>
      <c r="CHQ569" s="8"/>
      <c r="CHR569" s="8"/>
      <c r="CHS569" s="8"/>
      <c r="CHT569" s="8"/>
      <c r="CHU569" s="8"/>
      <c r="CHV569" s="8"/>
      <c r="CHW569" s="8"/>
      <c r="CHX569" s="8"/>
      <c r="CHY569" s="8"/>
      <c r="CHZ569" s="8"/>
      <c r="CIA569" s="8"/>
      <c r="CIB569" s="8"/>
      <c r="CIC569" s="8"/>
      <c r="CID569" s="8"/>
      <c r="CIE569" s="8"/>
      <c r="CIF569" s="8"/>
      <c r="CIG569" s="8"/>
      <c r="CIH569" s="8"/>
      <c r="CII569" s="8"/>
      <c r="CIJ569" s="8"/>
      <c r="CIK569" s="8"/>
      <c r="CIL569" s="8"/>
      <c r="CIM569" s="8"/>
      <c r="CIN569" s="8"/>
      <c r="CIO569" s="8"/>
      <c r="CIP569" s="8"/>
      <c r="CIQ569" s="8"/>
      <c r="CIR569" s="8"/>
      <c r="CIS569" s="8"/>
      <c r="CIT569" s="8"/>
      <c r="CIU569" s="8"/>
      <c r="CIV569" s="8"/>
      <c r="CIW569" s="8"/>
      <c r="CIX569" s="8"/>
      <c r="CIY569" s="8"/>
      <c r="CIZ569" s="8"/>
      <c r="CJA569" s="8"/>
      <c r="CJB569" s="8"/>
      <c r="CJC569" s="8"/>
      <c r="CJD569" s="8"/>
      <c r="CJE569" s="8"/>
      <c r="CJF569" s="8"/>
      <c r="CJG569" s="8"/>
      <c r="CJH569" s="8"/>
      <c r="CJI569" s="8"/>
      <c r="CJJ569" s="8"/>
      <c r="CJK569" s="8"/>
      <c r="CJL569" s="8"/>
      <c r="CJM569" s="8"/>
      <c r="CJN569" s="8"/>
      <c r="CJO569" s="8"/>
      <c r="CJP569" s="8"/>
      <c r="CJQ569" s="8"/>
      <c r="CJR569" s="8"/>
      <c r="CJS569" s="8"/>
      <c r="CJT569" s="8"/>
      <c r="CJU569" s="8"/>
      <c r="CJV569" s="8"/>
      <c r="CJW569" s="8"/>
      <c r="CJX569" s="8"/>
      <c r="CJY569" s="8"/>
      <c r="CJZ569" s="8"/>
      <c r="CKA569" s="8"/>
      <c r="CKB569" s="8"/>
      <c r="CKC569" s="8"/>
      <c r="CKD569" s="8"/>
      <c r="CKE569" s="8"/>
      <c r="CKF569" s="8"/>
      <c r="CKG569" s="8"/>
      <c r="CKH569" s="8"/>
      <c r="CKI569" s="8"/>
      <c r="CKJ569" s="8"/>
      <c r="CKK569" s="8"/>
      <c r="CKL569" s="8"/>
      <c r="CKM569" s="8"/>
      <c r="CKN569" s="8"/>
    </row>
    <row r="570" spans="1:2328" ht="18.600000000000001" customHeight="1" x14ac:dyDescent="0.25">
      <c r="A570" s="60" t="s">
        <v>249</v>
      </c>
      <c r="B570" s="2" t="s">
        <v>335</v>
      </c>
      <c r="C570" s="3" t="s">
        <v>2420</v>
      </c>
      <c r="D570" s="12" t="s">
        <v>2059</v>
      </c>
      <c r="E570" s="12" t="s">
        <v>250</v>
      </c>
      <c r="F570" s="12" t="s">
        <v>4007</v>
      </c>
      <c r="G570" s="25">
        <v>14013</v>
      </c>
      <c r="H570" s="25">
        <v>8425</v>
      </c>
      <c r="I570" s="25">
        <v>823</v>
      </c>
      <c r="J570" s="25">
        <v>3978</v>
      </c>
      <c r="K570" s="25">
        <v>7506</v>
      </c>
      <c r="L570" s="25">
        <v>13078</v>
      </c>
      <c r="M570" s="25">
        <v>20584</v>
      </c>
      <c r="N570" s="31">
        <v>0.36</v>
      </c>
      <c r="O570" s="25">
        <v>18582</v>
      </c>
      <c r="P570" s="25">
        <v>2983</v>
      </c>
      <c r="Q570" s="25">
        <v>458</v>
      </c>
      <c r="R570" s="25">
        <v>45</v>
      </c>
      <c r="S570" s="25">
        <v>49</v>
      </c>
      <c r="T570" s="25">
        <v>87</v>
      </c>
      <c r="U570" s="61">
        <v>148</v>
      </c>
      <c r="V570" s="58">
        <v>1.5E-3</v>
      </c>
      <c r="W570" s="33">
        <v>1.6000000000000001E-3</v>
      </c>
      <c r="X570" s="33">
        <v>1.5E-3</v>
      </c>
      <c r="Y570" s="33">
        <v>5.0000000000000001E-4</v>
      </c>
      <c r="Z570" s="33">
        <v>4.3E-3</v>
      </c>
      <c r="AA570" s="33">
        <v>5.0000000000000001E-4</v>
      </c>
      <c r="AB570" s="25">
        <v>1471</v>
      </c>
      <c r="AC570" s="25">
        <v>971</v>
      </c>
      <c r="AD570" s="25">
        <v>295</v>
      </c>
      <c r="AE570" s="25">
        <v>21</v>
      </c>
      <c r="AF570" s="25">
        <v>40</v>
      </c>
      <c r="AG570" s="25">
        <v>138</v>
      </c>
      <c r="AH570" s="25">
        <v>6</v>
      </c>
      <c r="AI570" s="12">
        <v>3.35</v>
      </c>
      <c r="AJ570" s="25">
        <v>8043</v>
      </c>
      <c r="AK570" s="25">
        <v>5117</v>
      </c>
      <c r="AL570" s="33">
        <v>1.7487999999999999</v>
      </c>
      <c r="AM570" s="3" t="s">
        <v>2420</v>
      </c>
      <c r="AN570" s="12" t="s">
        <v>250</v>
      </c>
      <c r="AO570" s="12" t="s">
        <v>250</v>
      </c>
      <c r="AP570" s="12" t="str">
        <f>"569663466424342"</f>
        <v>569663466424342</v>
      </c>
      <c r="AQ570" s="12" t="s">
        <v>2059</v>
      </c>
      <c r="AR570" s="12" t="s">
        <v>2060</v>
      </c>
      <c r="AS570" s="12" t="s">
        <v>4528</v>
      </c>
      <c r="AT570" s="12"/>
      <c r="AU570" s="12" t="s">
        <v>5257</v>
      </c>
      <c r="AV570" s="12" t="s">
        <v>5781</v>
      </c>
      <c r="AW570" s="12"/>
      <c r="AX570" s="12">
        <v>3112</v>
      </c>
      <c r="AY570" s="12">
        <v>162</v>
      </c>
      <c r="AZ570" s="12">
        <v>3112</v>
      </c>
      <c r="BA570" s="12" t="s">
        <v>2061</v>
      </c>
      <c r="BB570" s="12" t="s">
        <v>6442</v>
      </c>
      <c r="BC570" s="12" t="s">
        <v>6443</v>
      </c>
      <c r="BD570" s="12"/>
      <c r="BE570" s="12" t="s">
        <v>2291</v>
      </c>
      <c r="BF570" s="12"/>
      <c r="BG570" s="12"/>
      <c r="BH570" s="12"/>
      <c r="BI570" s="12" t="s">
        <v>5258</v>
      </c>
      <c r="BJ570" s="12" t="s">
        <v>2062</v>
      </c>
      <c r="BK570" s="12" t="s">
        <v>6278</v>
      </c>
      <c r="BL570" s="12" t="s">
        <v>2292</v>
      </c>
      <c r="BM570" s="12" t="s">
        <v>2292</v>
      </c>
      <c r="BN570" s="12" t="s">
        <v>2292</v>
      </c>
      <c r="BO570" s="12" t="s">
        <v>2291</v>
      </c>
      <c r="BP570" s="12" t="s">
        <v>2421</v>
      </c>
      <c r="BQ570" s="12"/>
      <c r="BR570" s="12"/>
      <c r="BS570" s="12"/>
      <c r="BT570" s="12" t="s">
        <v>2063</v>
      </c>
      <c r="BU570" s="12" t="s">
        <v>326</v>
      </c>
      <c r="BV570" s="12"/>
      <c r="BW570" s="12" t="s">
        <v>4831</v>
      </c>
      <c r="BX570" s="12"/>
      <c r="BY570" s="13" t="s">
        <v>313</v>
      </c>
      <c r="BZ570" s="13" t="s">
        <v>312</v>
      </c>
      <c r="CA570" s="13"/>
      <c r="CB570" s="13"/>
      <c r="CC570" s="13"/>
      <c r="CD570" s="13"/>
      <c r="CE570" s="13"/>
      <c r="CF570" s="13"/>
    </row>
    <row r="571" spans="1:2328" ht="18.600000000000001" customHeight="1" x14ac:dyDescent="0.25">
      <c r="A571" s="60" t="s">
        <v>209</v>
      </c>
      <c r="B571" s="13" t="s">
        <v>5054</v>
      </c>
      <c r="C571" s="3" t="s">
        <v>5055</v>
      </c>
      <c r="D571" s="12" t="s">
        <v>5149</v>
      </c>
      <c r="E571" s="12" t="s">
        <v>5053</v>
      </c>
      <c r="F571" s="12" t="s">
        <v>5150</v>
      </c>
      <c r="G571" s="25">
        <v>8024</v>
      </c>
      <c r="H571" s="25">
        <v>5942</v>
      </c>
      <c r="I571" s="25">
        <v>387</v>
      </c>
      <c r="J571" s="25">
        <v>1179</v>
      </c>
      <c r="K571" s="25">
        <v>11748</v>
      </c>
      <c r="L571" s="25">
        <v>8931</v>
      </c>
      <c r="M571" s="25">
        <v>20679</v>
      </c>
      <c r="N571" s="31">
        <v>0.56999999999999995</v>
      </c>
      <c r="O571" s="25">
        <v>5645</v>
      </c>
      <c r="P571" s="25">
        <v>0</v>
      </c>
      <c r="Q571" s="25">
        <v>424</v>
      </c>
      <c r="R571" s="25">
        <v>23</v>
      </c>
      <c r="S571" s="25">
        <v>2</v>
      </c>
      <c r="T571" s="25">
        <v>66</v>
      </c>
      <c r="U571" s="61">
        <v>1</v>
      </c>
      <c r="V571" s="58">
        <v>9.9000000000000008E-3</v>
      </c>
      <c r="W571" s="33">
        <v>2.7400000000000001E-2</v>
      </c>
      <c r="X571" s="33">
        <v>4.1999999999999997E-3</v>
      </c>
      <c r="Y571" s="33">
        <v>2.8E-3</v>
      </c>
      <c r="Z571" s="33">
        <v>2.81E-2</v>
      </c>
      <c r="AA571" s="33">
        <v>3.3E-3</v>
      </c>
      <c r="AB571" s="25">
        <v>1204</v>
      </c>
      <c r="AC571" s="25">
        <v>205</v>
      </c>
      <c r="AD571" s="25">
        <v>626</v>
      </c>
      <c r="AE571" s="25">
        <v>264</v>
      </c>
      <c r="AF571" s="25">
        <v>29</v>
      </c>
      <c r="AG571" s="25">
        <v>59</v>
      </c>
      <c r="AH571" s="25">
        <v>21</v>
      </c>
      <c r="AI571" s="12">
        <v>2.74</v>
      </c>
      <c r="AJ571" s="25">
        <v>1085</v>
      </c>
      <c r="AK571" s="25">
        <v>0</v>
      </c>
      <c r="AL571" s="31">
        <v>0</v>
      </c>
      <c r="AM571" s="3" t="s">
        <v>5055</v>
      </c>
      <c r="AN571" s="12" t="s">
        <v>5053</v>
      </c>
      <c r="AO571" s="12" t="s">
        <v>5053</v>
      </c>
      <c r="AP571" s="12" t="str">
        <f>"247959278915319"</f>
        <v>247959278915319</v>
      </c>
      <c r="AQ571" s="12" t="s">
        <v>5149</v>
      </c>
      <c r="AR571" s="12" t="s">
        <v>7039</v>
      </c>
      <c r="AS571" s="12"/>
      <c r="AT571" s="12"/>
      <c r="AU571" s="12" t="s">
        <v>424</v>
      </c>
      <c r="AV571" s="12"/>
      <c r="AW571" s="12"/>
      <c r="AX571" s="12">
        <v>0</v>
      </c>
      <c r="AY571" s="12">
        <v>64</v>
      </c>
      <c r="AZ571" s="12">
        <v>0</v>
      </c>
      <c r="BA571" s="12" t="s">
        <v>5421</v>
      </c>
      <c r="BB571" s="12"/>
      <c r="BC571" s="12" t="s">
        <v>7040</v>
      </c>
      <c r="BD571" s="12"/>
      <c r="BE571" s="12" t="s">
        <v>2291</v>
      </c>
      <c r="BF571" s="12"/>
      <c r="BG571" s="12"/>
      <c r="BH571" s="12"/>
      <c r="BI571" s="12"/>
      <c r="BJ571" s="12"/>
      <c r="BK571" s="12"/>
      <c r="BL571" s="12" t="s">
        <v>2292</v>
      </c>
      <c r="BM571" s="12" t="s">
        <v>2292</v>
      </c>
      <c r="BN571" s="12" t="s">
        <v>2292</v>
      </c>
      <c r="BO571" s="12" t="s">
        <v>2291</v>
      </c>
      <c r="BP571" s="12"/>
      <c r="BQ571" s="12"/>
      <c r="BR571" s="12"/>
      <c r="BS571" s="12"/>
      <c r="BT571" s="12"/>
      <c r="BU571" s="12"/>
      <c r="BV571" s="12"/>
      <c r="BW571" s="12"/>
      <c r="BX571" s="12"/>
      <c r="BY571" s="13" t="s">
        <v>313</v>
      </c>
      <c r="BZ571" s="13" t="s">
        <v>312</v>
      </c>
      <c r="CA571" s="13"/>
      <c r="CB571" s="13"/>
      <c r="CC571" s="13"/>
      <c r="CD571" s="13"/>
      <c r="CE571" s="13"/>
      <c r="CF571" s="13"/>
    </row>
    <row r="572" spans="1:2328" ht="18.600000000000001" customHeight="1" x14ac:dyDescent="0.25">
      <c r="A572" s="60" t="s">
        <v>209</v>
      </c>
      <c r="B572" s="2" t="s">
        <v>6167</v>
      </c>
      <c r="C572" s="3" t="s">
        <v>5689</v>
      </c>
      <c r="D572" s="12" t="s">
        <v>5179</v>
      </c>
      <c r="E572" s="12"/>
      <c r="F572" s="12" t="s">
        <v>5180</v>
      </c>
      <c r="G572" s="25">
        <v>2681</v>
      </c>
      <c r="H572" s="25">
        <v>2217</v>
      </c>
      <c r="I572" s="25">
        <v>212</v>
      </c>
      <c r="J572" s="25">
        <v>138</v>
      </c>
      <c r="K572" s="25">
        <v>104</v>
      </c>
      <c r="L572" s="25">
        <v>0</v>
      </c>
      <c r="M572" s="25">
        <v>104</v>
      </c>
      <c r="N572" s="31">
        <v>1</v>
      </c>
      <c r="O572" s="25">
        <v>2357</v>
      </c>
      <c r="P572" s="25">
        <v>0</v>
      </c>
      <c r="Q572" s="25">
        <v>99</v>
      </c>
      <c r="R572" s="25">
        <v>10</v>
      </c>
      <c r="S572" s="25">
        <v>0</v>
      </c>
      <c r="T572" s="25">
        <v>4</v>
      </c>
      <c r="U572" s="61">
        <v>1</v>
      </c>
      <c r="V572" s="58">
        <v>1.4E-3</v>
      </c>
      <c r="W572" s="33">
        <v>1.6999999999999999E-3</v>
      </c>
      <c r="X572" s="33">
        <v>1E-3</v>
      </c>
      <c r="Y572" s="33">
        <v>1.8E-3</v>
      </c>
      <c r="Z572" s="33">
        <v>0</v>
      </c>
      <c r="AA572" s="33">
        <v>1.1000000000000001E-3</v>
      </c>
      <c r="AB572" s="25">
        <v>599</v>
      </c>
      <c r="AC572" s="25">
        <v>152</v>
      </c>
      <c r="AD572" s="25">
        <v>337</v>
      </c>
      <c r="AE572" s="25">
        <v>75</v>
      </c>
      <c r="AF572" s="25">
        <v>1</v>
      </c>
      <c r="AG572" s="25">
        <v>22</v>
      </c>
      <c r="AH572" s="25">
        <v>12</v>
      </c>
      <c r="AI572" s="12">
        <v>1.36</v>
      </c>
      <c r="AJ572" s="25">
        <v>2936</v>
      </c>
      <c r="AK572" s="25">
        <v>0</v>
      </c>
      <c r="AL572" s="31">
        <v>0</v>
      </c>
      <c r="AM572" s="3" t="s">
        <v>5689</v>
      </c>
      <c r="AN572" s="12" t="s">
        <v>5975</v>
      </c>
      <c r="AO572" s="12"/>
      <c r="AP572" s="12" t="str">
        <f>"107371062633538"</f>
        <v>107371062633538</v>
      </c>
      <c r="AQ572" s="12" t="s">
        <v>5179</v>
      </c>
      <c r="AR572" s="12" t="s">
        <v>5313</v>
      </c>
      <c r="AS572" s="12"/>
      <c r="AT572" s="12"/>
      <c r="AU572" s="12" t="s">
        <v>309</v>
      </c>
      <c r="AV572" s="12"/>
      <c r="AW572" s="12"/>
      <c r="AX572" s="12">
        <v>0</v>
      </c>
      <c r="AY572" s="12">
        <v>30</v>
      </c>
      <c r="AZ572" s="12">
        <v>0</v>
      </c>
      <c r="BA572" s="12" t="s">
        <v>5314</v>
      </c>
      <c r="BB572" s="12"/>
      <c r="BC572" s="12" t="s">
        <v>7061</v>
      </c>
      <c r="BD572" s="12"/>
      <c r="BE572" s="12" t="s">
        <v>2291</v>
      </c>
      <c r="BF572" s="12"/>
      <c r="BG572" s="12"/>
      <c r="BH572" s="12"/>
      <c r="BI572" s="12"/>
      <c r="BJ572" s="12"/>
      <c r="BK572" s="12"/>
      <c r="BL572" s="12" t="s">
        <v>2292</v>
      </c>
      <c r="BM572" s="12" t="s">
        <v>2292</v>
      </c>
      <c r="BN572" s="12" t="s">
        <v>2292</v>
      </c>
      <c r="BO572" s="12" t="s">
        <v>2292</v>
      </c>
      <c r="BP572" s="12"/>
      <c r="BQ572" s="12"/>
      <c r="BR572" s="12"/>
      <c r="BS572" s="12"/>
      <c r="BT572" s="12" t="s">
        <v>5315</v>
      </c>
      <c r="BU572" s="12"/>
      <c r="BV572" s="12"/>
      <c r="BW572" s="12"/>
      <c r="BX572" s="12"/>
      <c r="BY572" s="13" t="s">
        <v>313</v>
      </c>
      <c r="BZ572" s="13" t="s">
        <v>312</v>
      </c>
      <c r="CA572" s="13"/>
      <c r="CB572" s="13"/>
      <c r="CC572" s="13"/>
      <c r="CD572" s="13"/>
      <c r="CE572" s="13"/>
      <c r="CF572" s="13"/>
    </row>
    <row r="573" spans="1:2328" ht="18.600000000000001" customHeight="1" x14ac:dyDescent="0.25">
      <c r="A573" s="60" t="s">
        <v>209</v>
      </c>
      <c r="B573" s="2" t="s">
        <v>315</v>
      </c>
      <c r="C573" s="3" t="s">
        <v>3896</v>
      </c>
      <c r="D573" s="12" t="s">
        <v>4357</v>
      </c>
      <c r="E573" s="12" t="s">
        <v>4358</v>
      </c>
      <c r="F573" s="12" t="s">
        <v>4359</v>
      </c>
      <c r="G573" s="25">
        <v>25957</v>
      </c>
      <c r="H573" s="25">
        <v>16908</v>
      </c>
      <c r="I573" s="25">
        <v>1485</v>
      </c>
      <c r="J573" s="25">
        <v>5859</v>
      </c>
      <c r="K573" s="25">
        <v>173324</v>
      </c>
      <c r="L573" s="25">
        <v>135759</v>
      </c>
      <c r="M573" s="25">
        <v>309083</v>
      </c>
      <c r="N573" s="31">
        <v>0.56000000000000005</v>
      </c>
      <c r="O573" s="25">
        <v>7743</v>
      </c>
      <c r="P573" s="25">
        <v>48187</v>
      </c>
      <c r="Q573" s="25">
        <v>1383</v>
      </c>
      <c r="R573" s="25">
        <v>125</v>
      </c>
      <c r="S573" s="25">
        <v>30</v>
      </c>
      <c r="T573" s="25">
        <v>147</v>
      </c>
      <c r="U573" s="61">
        <v>19</v>
      </c>
      <c r="V573" s="58">
        <v>1.6999999999999999E-3</v>
      </c>
      <c r="W573" s="33">
        <v>1.6000000000000001E-3</v>
      </c>
      <c r="X573" s="33">
        <v>1.4E-3</v>
      </c>
      <c r="Y573" s="33">
        <v>2.9999999999999997E-4</v>
      </c>
      <c r="Z573" s="33">
        <v>3.0999999999999999E-3</v>
      </c>
      <c r="AA573" s="33">
        <v>2.9999999999999997E-4</v>
      </c>
      <c r="AB573" s="25">
        <v>4070</v>
      </c>
      <c r="AC573" s="25">
        <v>721</v>
      </c>
      <c r="AD573" s="25">
        <v>2492</v>
      </c>
      <c r="AE573" s="25">
        <v>15</v>
      </c>
      <c r="AF573" s="25">
        <v>634</v>
      </c>
      <c r="AG573" s="25">
        <v>34</v>
      </c>
      <c r="AH573" s="25">
        <v>174</v>
      </c>
      <c r="AI573" s="12">
        <v>9.27</v>
      </c>
      <c r="AJ573" s="25">
        <v>4726</v>
      </c>
      <c r="AK573" s="25">
        <v>2172</v>
      </c>
      <c r="AL573" s="33">
        <v>0.85040000000000004</v>
      </c>
      <c r="AM573" s="3" t="s">
        <v>3896</v>
      </c>
      <c r="AN573" s="12" t="s">
        <v>4358</v>
      </c>
      <c r="AO573" s="12" t="s">
        <v>4358</v>
      </c>
      <c r="AP573" s="12" t="str">
        <f>"473920689327764"</f>
        <v>473920689327764</v>
      </c>
      <c r="AQ573" s="12" t="s">
        <v>4357</v>
      </c>
      <c r="AR573" s="12" t="s">
        <v>3683</v>
      </c>
      <c r="AS573" s="12" t="s">
        <v>5462</v>
      </c>
      <c r="AT573" s="12"/>
      <c r="AU573" s="12" t="s">
        <v>4561</v>
      </c>
      <c r="AV573" s="12" t="s">
        <v>7242</v>
      </c>
      <c r="AW573" s="12"/>
      <c r="AX573" s="12">
        <v>17</v>
      </c>
      <c r="AY573" s="12">
        <v>1388</v>
      </c>
      <c r="AZ573" s="12">
        <v>17</v>
      </c>
      <c r="BA573" s="12" t="s">
        <v>4635</v>
      </c>
      <c r="BB573" s="12" t="s">
        <v>7243</v>
      </c>
      <c r="BC573" s="12" t="s">
        <v>7244</v>
      </c>
      <c r="BD573" s="12"/>
      <c r="BE573" s="12" t="s">
        <v>2291</v>
      </c>
      <c r="BF573" s="12"/>
      <c r="BG573" s="12"/>
      <c r="BH573" s="12"/>
      <c r="BI573" s="12"/>
      <c r="BJ573" s="12"/>
      <c r="BK573" s="12"/>
      <c r="BL573" s="12" t="s">
        <v>2292</v>
      </c>
      <c r="BM573" s="12" t="s">
        <v>2292</v>
      </c>
      <c r="BN573" s="12" t="s">
        <v>2292</v>
      </c>
      <c r="BO573" s="12" t="s">
        <v>2292</v>
      </c>
      <c r="BP573" s="12" t="s">
        <v>2989</v>
      </c>
      <c r="BQ573" s="12"/>
      <c r="BR573" s="12"/>
      <c r="BS573" s="12"/>
      <c r="BT573" s="12">
        <v>8694671416</v>
      </c>
      <c r="BU573" s="12" t="s">
        <v>326</v>
      </c>
      <c r="BV573" s="12"/>
      <c r="BW573" s="12" t="s">
        <v>5463</v>
      </c>
      <c r="BX573" s="12"/>
      <c r="BY573" s="13" t="s">
        <v>313</v>
      </c>
      <c r="BZ573" s="13" t="s">
        <v>6174</v>
      </c>
      <c r="CA573" s="13" t="s">
        <v>6170</v>
      </c>
      <c r="CB573" s="13" t="s">
        <v>6197</v>
      </c>
      <c r="CC573" s="13"/>
      <c r="CD573" s="13" t="s">
        <v>6198</v>
      </c>
      <c r="CE573" s="13"/>
      <c r="CF573" s="13"/>
    </row>
    <row r="574" spans="1:2328" ht="18.600000000000001" customHeight="1" x14ac:dyDescent="0.25">
      <c r="A574" s="35" t="s">
        <v>210</v>
      </c>
      <c r="B574" s="13" t="s">
        <v>3484</v>
      </c>
      <c r="C574" s="3" t="s">
        <v>3485</v>
      </c>
      <c r="D574" s="12" t="s">
        <v>3513</v>
      </c>
      <c r="E574" s="12" t="s">
        <v>3528</v>
      </c>
      <c r="F574" s="12" t="s">
        <v>3936</v>
      </c>
      <c r="G574" s="25">
        <v>48222</v>
      </c>
      <c r="H574" s="25">
        <v>32782</v>
      </c>
      <c r="I574" s="25">
        <v>4366</v>
      </c>
      <c r="J574" s="25">
        <v>7271</v>
      </c>
      <c r="K574" s="25">
        <v>164014</v>
      </c>
      <c r="L574" s="25">
        <v>146916</v>
      </c>
      <c r="M574" s="25">
        <v>310930</v>
      </c>
      <c r="N574" s="31">
        <v>0.53</v>
      </c>
      <c r="O574" s="25">
        <v>29590</v>
      </c>
      <c r="P574" s="25">
        <v>5530</v>
      </c>
      <c r="Q574" s="25">
        <v>3129</v>
      </c>
      <c r="R574" s="25">
        <v>121</v>
      </c>
      <c r="S574" s="25">
        <v>145</v>
      </c>
      <c r="T574" s="25">
        <v>329</v>
      </c>
      <c r="U574" s="61">
        <v>76</v>
      </c>
      <c r="V574" s="58">
        <v>5.0000000000000001E-3</v>
      </c>
      <c r="W574" s="33">
        <v>5.7000000000000002E-3</v>
      </c>
      <c r="X574" s="33">
        <v>2.5000000000000001E-3</v>
      </c>
      <c r="Y574" s="33">
        <v>5.1999999999999998E-3</v>
      </c>
      <c r="Z574" s="33">
        <v>7.1999999999999998E-3</v>
      </c>
      <c r="AA574" s="33">
        <v>1.2999999999999999E-3</v>
      </c>
      <c r="AB574" s="25">
        <v>501</v>
      </c>
      <c r="AC574" s="25">
        <v>299</v>
      </c>
      <c r="AD574" s="25">
        <v>57</v>
      </c>
      <c r="AE574" s="25">
        <v>27</v>
      </c>
      <c r="AF574" s="25">
        <v>67</v>
      </c>
      <c r="AG574" s="25">
        <v>45</v>
      </c>
      <c r="AH574" s="25">
        <v>6</v>
      </c>
      <c r="AI574" s="12">
        <v>1.1399999999999999</v>
      </c>
      <c r="AJ574" s="25">
        <v>20191</v>
      </c>
      <c r="AK574" s="25">
        <v>2093</v>
      </c>
      <c r="AL574" s="33">
        <v>0.11559999999999999</v>
      </c>
      <c r="AM574" s="3" t="s">
        <v>3485</v>
      </c>
      <c r="AN574" s="12" t="s">
        <v>3528</v>
      </c>
      <c r="AO574" s="12" t="s">
        <v>3528</v>
      </c>
      <c r="AP574" s="12" t="str">
        <f>"1409638192624686"</f>
        <v>1409638192624686</v>
      </c>
      <c r="AQ574" s="12" t="s">
        <v>3513</v>
      </c>
      <c r="AR574" s="12" t="s">
        <v>3316</v>
      </c>
      <c r="AS574" s="12" t="s">
        <v>3529</v>
      </c>
      <c r="AT574" s="12"/>
      <c r="AU574" s="12" t="s">
        <v>309</v>
      </c>
      <c r="AV574" s="12" t="s">
        <v>5802</v>
      </c>
      <c r="AW574" s="12"/>
      <c r="AX574" s="12">
        <v>0</v>
      </c>
      <c r="AY574" s="12">
        <v>710</v>
      </c>
      <c r="AZ574" s="12">
        <v>0</v>
      </c>
      <c r="BA574" s="12" t="s">
        <v>3530</v>
      </c>
      <c r="BB574" s="12" t="s">
        <v>6287</v>
      </c>
      <c r="BC574" s="12" t="s">
        <v>6288</v>
      </c>
      <c r="BD574" s="12" t="s">
        <v>3531</v>
      </c>
      <c r="BE574" s="12" t="s">
        <v>2291</v>
      </c>
      <c r="BF574" s="12"/>
      <c r="BG574" s="12"/>
      <c r="BH574" s="12"/>
      <c r="BI574" s="12" t="s">
        <v>4680</v>
      </c>
      <c r="BJ574" s="12"/>
      <c r="BK574" s="12"/>
      <c r="BL574" s="12" t="s">
        <v>2292</v>
      </c>
      <c r="BM574" s="12" t="s">
        <v>2292</v>
      </c>
      <c r="BN574" s="12" t="s">
        <v>2292</v>
      </c>
      <c r="BO574" s="12" t="s">
        <v>2291</v>
      </c>
      <c r="BP574" s="12"/>
      <c r="BQ574" s="12"/>
      <c r="BR574" s="12"/>
      <c r="BS574" s="12"/>
      <c r="BT574" s="12">
        <v>17584682111</v>
      </c>
      <c r="BU574" s="12" t="s">
        <v>326</v>
      </c>
      <c r="BV574" s="12"/>
      <c r="BW574" s="12"/>
      <c r="BX574" s="12"/>
      <c r="BY574" s="13" t="s">
        <v>313</v>
      </c>
      <c r="BZ574" s="13" t="s">
        <v>6174</v>
      </c>
      <c r="CA574" s="13"/>
      <c r="CB574" s="13"/>
      <c r="CC574" s="13"/>
      <c r="CD574" s="13"/>
      <c r="CE574" s="13"/>
      <c r="CF574" s="13"/>
    </row>
    <row r="575" spans="1:2328" ht="18.600000000000001" customHeight="1" x14ac:dyDescent="0.25">
      <c r="A575" s="60" t="s">
        <v>210</v>
      </c>
      <c r="B575" s="2" t="s">
        <v>315</v>
      </c>
      <c r="C575" s="3" t="s">
        <v>2963</v>
      </c>
      <c r="D575" s="12" t="s">
        <v>2065</v>
      </c>
      <c r="E575" s="12" t="s">
        <v>2064</v>
      </c>
      <c r="F575" s="12" t="s">
        <v>4346</v>
      </c>
      <c r="G575" s="25">
        <v>63157</v>
      </c>
      <c r="H575" s="25">
        <v>10971</v>
      </c>
      <c r="I575" s="25">
        <v>36311</v>
      </c>
      <c r="J575" s="25">
        <v>9351</v>
      </c>
      <c r="K575" s="25">
        <v>241540</v>
      </c>
      <c r="L575" s="25">
        <v>465157</v>
      </c>
      <c r="M575" s="25">
        <v>706697</v>
      </c>
      <c r="N575" s="31">
        <v>0.34</v>
      </c>
      <c r="O575" s="25">
        <v>4832</v>
      </c>
      <c r="P575" s="25">
        <v>416030</v>
      </c>
      <c r="Q575" s="25">
        <v>4789</v>
      </c>
      <c r="R575" s="25">
        <v>220</v>
      </c>
      <c r="S575" s="25">
        <v>581</v>
      </c>
      <c r="T575" s="25">
        <v>357</v>
      </c>
      <c r="U575" s="61">
        <v>575</v>
      </c>
      <c r="V575" s="58">
        <v>1.8599999999999998E-2</v>
      </c>
      <c r="W575" s="33">
        <v>4.1000000000000003E-3</v>
      </c>
      <c r="X575" s="33">
        <v>2.0999999999999999E-3</v>
      </c>
      <c r="Y575" s="33">
        <v>5.9999999999999995E-4</v>
      </c>
      <c r="Z575" s="33">
        <v>0.10340000000000001</v>
      </c>
      <c r="AA575" s="33">
        <v>1.4E-3</v>
      </c>
      <c r="AB575" s="25">
        <v>681</v>
      </c>
      <c r="AC575" s="25">
        <v>156</v>
      </c>
      <c r="AD575" s="25">
        <v>384</v>
      </c>
      <c r="AE575" s="25">
        <v>1</v>
      </c>
      <c r="AF575" s="25">
        <v>109</v>
      </c>
      <c r="AG575" s="25">
        <v>7</v>
      </c>
      <c r="AH575" s="25">
        <v>24</v>
      </c>
      <c r="AI575" s="12">
        <v>1.55</v>
      </c>
      <c r="AJ575" s="25">
        <v>6405</v>
      </c>
      <c r="AK575" s="25">
        <v>3443</v>
      </c>
      <c r="AL575" s="33">
        <v>1.1624000000000001</v>
      </c>
      <c r="AM575" s="3" t="s">
        <v>2963</v>
      </c>
      <c r="AN575" s="12" t="s">
        <v>2064</v>
      </c>
      <c r="AO575" s="12" t="s">
        <v>2064</v>
      </c>
      <c r="AP575" s="12" t="str">
        <f>"305083636229840"</f>
        <v>305083636229840</v>
      </c>
      <c r="AQ575" s="12" t="s">
        <v>2065</v>
      </c>
      <c r="AR575" s="12" t="s">
        <v>2066</v>
      </c>
      <c r="AS575" s="12" t="s">
        <v>2964</v>
      </c>
      <c r="AT575" s="12"/>
      <c r="AU575" s="12" t="s">
        <v>324</v>
      </c>
      <c r="AV575" s="12" t="s">
        <v>5903</v>
      </c>
      <c r="AW575" s="12" t="s">
        <v>2067</v>
      </c>
      <c r="AX575" s="12">
        <v>40</v>
      </c>
      <c r="AY575" s="12">
        <v>207</v>
      </c>
      <c r="AZ575" s="12">
        <v>40</v>
      </c>
      <c r="BA575" s="12" t="s">
        <v>2068</v>
      </c>
      <c r="BB575" s="12" t="s">
        <v>7206</v>
      </c>
      <c r="BC575" s="12" t="s">
        <v>7207</v>
      </c>
      <c r="BD575" s="12"/>
      <c r="BE575" s="12" t="s">
        <v>2291</v>
      </c>
      <c r="BF575" s="12"/>
      <c r="BG575" s="12"/>
      <c r="BH575" s="12"/>
      <c r="BI575" s="12"/>
      <c r="BJ575" s="12" t="s">
        <v>2965</v>
      </c>
      <c r="BK575" s="12"/>
      <c r="BL575" s="12" t="s">
        <v>2292</v>
      </c>
      <c r="BM575" s="12" t="s">
        <v>2292</v>
      </c>
      <c r="BN575" s="12" t="s">
        <v>2292</v>
      </c>
      <c r="BO575" s="12" t="s">
        <v>2292</v>
      </c>
      <c r="BP575" s="12"/>
      <c r="BQ575" s="12"/>
      <c r="BR575" s="12"/>
      <c r="BS575" s="12"/>
      <c r="BT575" s="12"/>
      <c r="BU575" s="12" t="s">
        <v>326</v>
      </c>
      <c r="BV575" s="12" t="s">
        <v>2966</v>
      </c>
      <c r="BW575" s="12" t="s">
        <v>3317</v>
      </c>
      <c r="BX575" s="12"/>
      <c r="BY575" s="13" t="s">
        <v>313</v>
      </c>
      <c r="BZ575" s="13" t="s">
        <v>6174</v>
      </c>
      <c r="CA575" s="13" t="s">
        <v>6170</v>
      </c>
      <c r="CB575" s="13" t="s">
        <v>312</v>
      </c>
      <c r="CC575" s="13"/>
      <c r="CD575" s="13" t="s">
        <v>6198</v>
      </c>
      <c r="CE575" s="13"/>
      <c r="CF575" s="13"/>
    </row>
    <row r="576" spans="1:2328" ht="18.600000000000001" customHeight="1" x14ac:dyDescent="0.25">
      <c r="A576" s="35" t="s">
        <v>2073</v>
      </c>
      <c r="B576" s="13" t="s">
        <v>2074</v>
      </c>
      <c r="C576" s="3" t="s">
        <v>2403</v>
      </c>
      <c r="D576" s="12" t="s">
        <v>2070</v>
      </c>
      <c r="E576" s="12" t="s">
        <v>2069</v>
      </c>
      <c r="F576" s="12" t="s">
        <v>3994</v>
      </c>
      <c r="G576" s="25">
        <v>723</v>
      </c>
      <c r="H576" s="25">
        <v>528</v>
      </c>
      <c r="I576" s="25">
        <v>92</v>
      </c>
      <c r="J576" s="25">
        <v>63</v>
      </c>
      <c r="K576" s="25">
        <v>0</v>
      </c>
      <c r="L576" s="25">
        <v>0</v>
      </c>
      <c r="M576" s="25">
        <v>0</v>
      </c>
      <c r="N576" s="31">
        <v>0</v>
      </c>
      <c r="O576" s="25">
        <v>0</v>
      </c>
      <c r="P576" s="25">
        <v>0</v>
      </c>
      <c r="Q576" s="25">
        <v>39</v>
      </c>
      <c r="R576" s="25">
        <v>1</v>
      </c>
      <c r="S576" s="25">
        <v>0</v>
      </c>
      <c r="T576" s="25">
        <v>0</v>
      </c>
      <c r="U576" s="61">
        <v>0</v>
      </c>
      <c r="V576" s="58">
        <v>7.7000000000000002E-3</v>
      </c>
      <c r="W576" s="33">
        <v>1.34E-2</v>
      </c>
      <c r="X576" s="33">
        <v>3.2000000000000002E-3</v>
      </c>
      <c r="Y576" s="33">
        <v>5.1000000000000004E-3</v>
      </c>
      <c r="Z576" s="12" t="s">
        <v>3926</v>
      </c>
      <c r="AA576" s="12" t="s">
        <v>3926</v>
      </c>
      <c r="AB576" s="25">
        <v>8</v>
      </c>
      <c r="AC576" s="25">
        <v>3</v>
      </c>
      <c r="AD576" s="25">
        <v>2</v>
      </c>
      <c r="AE576" s="25">
        <v>3</v>
      </c>
      <c r="AF576" s="25">
        <v>0</v>
      </c>
      <c r="AG576" s="25">
        <v>0</v>
      </c>
      <c r="AH576" s="25">
        <v>0</v>
      </c>
      <c r="AI576" s="12">
        <v>0.02</v>
      </c>
      <c r="AJ576" s="25">
        <v>11749</v>
      </c>
      <c r="AK576" s="25">
        <v>102</v>
      </c>
      <c r="AL576" s="33">
        <v>8.8000000000000005E-3</v>
      </c>
      <c r="AM576" s="3" t="s">
        <v>2403</v>
      </c>
      <c r="AN576" s="12" t="s">
        <v>2069</v>
      </c>
      <c r="AO576" s="12" t="s">
        <v>2069</v>
      </c>
      <c r="AP576" s="12" t="str">
        <f>"103825446351555"</f>
        <v>103825446351555</v>
      </c>
      <c r="AQ576" s="12" t="s">
        <v>2070</v>
      </c>
      <c r="AR576" s="12"/>
      <c r="AS576" s="12" t="s">
        <v>2071</v>
      </c>
      <c r="AT576" s="12"/>
      <c r="AU576" s="12" t="s">
        <v>424</v>
      </c>
      <c r="AV576" s="12"/>
      <c r="AW576" s="12"/>
      <c r="AX576" s="12">
        <v>0</v>
      </c>
      <c r="AY576" s="12">
        <v>6</v>
      </c>
      <c r="AZ576" s="12">
        <v>0</v>
      </c>
      <c r="BA576" s="12" t="s">
        <v>2072</v>
      </c>
      <c r="BB576" s="12"/>
      <c r="BC576" s="12" t="s">
        <v>6424</v>
      </c>
      <c r="BD576" s="12"/>
      <c r="BE576" s="12" t="s">
        <v>2291</v>
      </c>
      <c r="BF576" s="12"/>
      <c r="BG576" s="12"/>
      <c r="BH576" s="12"/>
      <c r="BI576" s="12"/>
      <c r="BJ576" s="12"/>
      <c r="BK576" s="12"/>
      <c r="BL576" s="12" t="s">
        <v>2292</v>
      </c>
      <c r="BM576" s="12" t="s">
        <v>2292</v>
      </c>
      <c r="BN576" s="12" t="s">
        <v>2292</v>
      </c>
      <c r="BO576" s="12" t="s">
        <v>2291</v>
      </c>
      <c r="BP576" s="12"/>
      <c r="BQ576" s="12"/>
      <c r="BR576" s="12"/>
      <c r="BS576" s="12"/>
      <c r="BT576" s="12"/>
      <c r="BU576" s="12"/>
      <c r="BV576" s="12"/>
      <c r="BW576" s="12"/>
      <c r="BX576" s="12"/>
      <c r="BY576" s="13" t="s">
        <v>313</v>
      </c>
      <c r="BZ576" s="13" t="s">
        <v>6170</v>
      </c>
      <c r="CA576" s="13" t="s">
        <v>6170</v>
      </c>
      <c r="CB576" s="13" t="s">
        <v>312</v>
      </c>
      <c r="CC576" s="13"/>
      <c r="CD576" s="13" t="s">
        <v>6198</v>
      </c>
      <c r="CE576" s="13"/>
      <c r="CF576" s="13"/>
    </row>
    <row r="577" spans="1:84" ht="18.600000000000001" customHeight="1" x14ac:dyDescent="0.25">
      <c r="A577" s="35" t="s">
        <v>211</v>
      </c>
      <c r="B577" s="13" t="s">
        <v>314</v>
      </c>
      <c r="C577" s="3" t="s">
        <v>2834</v>
      </c>
      <c r="D577" s="12" t="s">
        <v>2075</v>
      </c>
      <c r="E577" s="12" t="s">
        <v>212</v>
      </c>
      <c r="F577" s="12" t="s">
        <v>4250</v>
      </c>
      <c r="G577" s="25">
        <v>5442</v>
      </c>
      <c r="H577" s="25">
        <v>3241</v>
      </c>
      <c r="I577" s="25">
        <v>209</v>
      </c>
      <c r="J577" s="25">
        <v>1337</v>
      </c>
      <c r="K577" s="25">
        <v>14643</v>
      </c>
      <c r="L577" s="25">
        <v>17983</v>
      </c>
      <c r="M577" s="25">
        <v>32626</v>
      </c>
      <c r="N577" s="31">
        <v>0.45</v>
      </c>
      <c r="O577" s="25">
        <v>2597</v>
      </c>
      <c r="P577" s="25">
        <v>274</v>
      </c>
      <c r="Q577" s="25">
        <v>637</v>
      </c>
      <c r="R577" s="25">
        <v>7</v>
      </c>
      <c r="S577" s="25">
        <v>7</v>
      </c>
      <c r="T577" s="25">
        <v>4</v>
      </c>
      <c r="U577" s="61">
        <v>0</v>
      </c>
      <c r="V577" s="58">
        <v>2.5999999999999999E-3</v>
      </c>
      <c r="W577" s="33">
        <v>2.3999999999999998E-3</v>
      </c>
      <c r="X577" s="33">
        <v>1.6999999999999999E-3</v>
      </c>
      <c r="Y577" s="33">
        <v>8.9999999999999998E-4</v>
      </c>
      <c r="Z577" s="33">
        <v>4.8999999999999998E-3</v>
      </c>
      <c r="AA577" s="33">
        <v>8.9999999999999998E-4</v>
      </c>
      <c r="AB577" s="25">
        <v>557</v>
      </c>
      <c r="AC577" s="25">
        <v>367</v>
      </c>
      <c r="AD577" s="25">
        <v>59</v>
      </c>
      <c r="AE577" s="25">
        <v>7</v>
      </c>
      <c r="AF577" s="25">
        <v>83</v>
      </c>
      <c r="AG577" s="25">
        <v>24</v>
      </c>
      <c r="AH577" s="25">
        <v>17</v>
      </c>
      <c r="AI577" s="12">
        <v>1.27</v>
      </c>
      <c r="AJ577" s="25">
        <v>4577</v>
      </c>
      <c r="AK577" s="25">
        <v>1778</v>
      </c>
      <c r="AL577" s="33">
        <v>0.63519999999999999</v>
      </c>
      <c r="AM577" s="3" t="s">
        <v>2834</v>
      </c>
      <c r="AN577" s="12" t="s">
        <v>212</v>
      </c>
      <c r="AO577" s="12" t="s">
        <v>212</v>
      </c>
      <c r="AP577" s="12" t="str">
        <f>"437077656395530"</f>
        <v>437077656395530</v>
      </c>
      <c r="AQ577" s="12" t="s">
        <v>2075</v>
      </c>
      <c r="AR577" s="12" t="s">
        <v>2076</v>
      </c>
      <c r="AS577" s="12" t="s">
        <v>2077</v>
      </c>
      <c r="AT577" s="12"/>
      <c r="AU577" s="12" t="s">
        <v>358</v>
      </c>
      <c r="AV577" s="12"/>
      <c r="AW577" s="12"/>
      <c r="AX577" s="12">
        <v>0</v>
      </c>
      <c r="AY577" s="12">
        <v>588</v>
      </c>
      <c r="AZ577" s="12">
        <v>0</v>
      </c>
      <c r="BA577" s="12" t="s">
        <v>2078</v>
      </c>
      <c r="BB577" s="12"/>
      <c r="BC577" s="12" t="s">
        <v>7000</v>
      </c>
      <c r="BD577" s="12"/>
      <c r="BE577" s="12" t="s">
        <v>2291</v>
      </c>
      <c r="BF577" s="12"/>
      <c r="BG577" s="12"/>
      <c r="BH577" s="12"/>
      <c r="BI577" s="12"/>
      <c r="BJ577" s="12"/>
      <c r="BK577" s="12"/>
      <c r="BL577" s="12" t="s">
        <v>2292</v>
      </c>
      <c r="BM577" s="12" t="s">
        <v>2292</v>
      </c>
      <c r="BN577" s="12" t="s">
        <v>2292</v>
      </c>
      <c r="BO577" s="12" t="s">
        <v>2292</v>
      </c>
      <c r="BP577" s="12"/>
      <c r="BQ577" s="12"/>
      <c r="BR577" s="12"/>
      <c r="BS577" s="12"/>
      <c r="BT577" s="12" t="s">
        <v>4971</v>
      </c>
      <c r="BU577" s="12"/>
      <c r="BV577" s="12"/>
      <c r="BW577" s="12"/>
      <c r="BX577" s="12"/>
      <c r="BY577" s="13" t="s">
        <v>313</v>
      </c>
      <c r="BZ577" s="13" t="s">
        <v>6174</v>
      </c>
      <c r="CA577" s="13"/>
      <c r="CB577" s="13"/>
      <c r="CC577" s="13"/>
      <c r="CD577" s="13"/>
      <c r="CE577" s="13"/>
      <c r="CF577" s="13"/>
    </row>
    <row r="578" spans="1:84" ht="18.600000000000001" customHeight="1" x14ac:dyDescent="0.25">
      <c r="A578" s="35" t="s">
        <v>211</v>
      </c>
      <c r="B578" s="13" t="s">
        <v>2084</v>
      </c>
      <c r="C578" s="3" t="s">
        <v>3018</v>
      </c>
      <c r="D578" s="12" t="s">
        <v>2080</v>
      </c>
      <c r="E578" s="12" t="s">
        <v>2079</v>
      </c>
      <c r="F578" s="12" t="s">
        <v>4382</v>
      </c>
      <c r="G578" s="25">
        <v>25968</v>
      </c>
      <c r="H578" s="25">
        <v>18076</v>
      </c>
      <c r="I578" s="25">
        <v>2400</v>
      </c>
      <c r="J578" s="25">
        <v>2526</v>
      </c>
      <c r="K578" s="25">
        <v>0</v>
      </c>
      <c r="L578" s="25">
        <v>0</v>
      </c>
      <c r="M578" s="25">
        <v>0</v>
      </c>
      <c r="N578" s="31">
        <v>0</v>
      </c>
      <c r="O578" s="25">
        <v>23282</v>
      </c>
      <c r="P578" s="25">
        <v>0</v>
      </c>
      <c r="Q578" s="25">
        <v>2648</v>
      </c>
      <c r="R578" s="25">
        <v>74</v>
      </c>
      <c r="S578" s="25">
        <v>150</v>
      </c>
      <c r="T578" s="25">
        <v>37</v>
      </c>
      <c r="U578" s="61">
        <v>56</v>
      </c>
      <c r="V578" s="58">
        <v>1.8E-3</v>
      </c>
      <c r="W578" s="33">
        <v>2.5999999999999999E-3</v>
      </c>
      <c r="X578" s="33">
        <v>4.0000000000000002E-4</v>
      </c>
      <c r="Y578" s="33">
        <v>1.1000000000000001E-3</v>
      </c>
      <c r="Z578" s="33">
        <v>2.0000000000000001E-4</v>
      </c>
      <c r="AA578" s="33">
        <v>5.0000000000000001E-4</v>
      </c>
      <c r="AB578" s="25">
        <v>316</v>
      </c>
      <c r="AC578" s="25">
        <v>178</v>
      </c>
      <c r="AD578" s="25">
        <v>40</v>
      </c>
      <c r="AE578" s="25">
        <v>48</v>
      </c>
      <c r="AF578" s="25">
        <v>1</v>
      </c>
      <c r="AG578" s="25">
        <v>19</v>
      </c>
      <c r="AH578" s="25">
        <v>30</v>
      </c>
      <c r="AI578" s="12">
        <v>0.72</v>
      </c>
      <c r="AJ578" s="25">
        <v>46692</v>
      </c>
      <c r="AK578" s="25">
        <v>1635</v>
      </c>
      <c r="AL578" s="33">
        <v>3.6299999999999999E-2</v>
      </c>
      <c r="AM578" s="3" t="s">
        <v>3018</v>
      </c>
      <c r="AN578" s="12" t="s">
        <v>2079</v>
      </c>
      <c r="AO578" s="12" t="s">
        <v>2079</v>
      </c>
      <c r="AP578" s="12" t="str">
        <f>"225483240978278"</f>
        <v>225483240978278</v>
      </c>
      <c r="AQ578" s="12" t="s">
        <v>2080</v>
      </c>
      <c r="AR578" s="12" t="s">
        <v>2081</v>
      </c>
      <c r="AS578" s="12" t="s">
        <v>2082</v>
      </c>
      <c r="AT578" s="12" t="s">
        <v>3019</v>
      </c>
      <c r="AU578" s="12" t="s">
        <v>309</v>
      </c>
      <c r="AV578" s="12"/>
      <c r="AW578" s="12"/>
      <c r="AX578" s="12">
        <v>0</v>
      </c>
      <c r="AY578" s="12">
        <v>107</v>
      </c>
      <c r="AZ578" s="12">
        <v>0</v>
      </c>
      <c r="BA578" s="12" t="s">
        <v>2083</v>
      </c>
      <c r="BB578" s="12"/>
      <c r="BC578" s="12" t="s">
        <v>7288</v>
      </c>
      <c r="BD578" s="12"/>
      <c r="BE578" s="12" t="s">
        <v>2291</v>
      </c>
      <c r="BF578" s="12"/>
      <c r="BG578" s="12"/>
      <c r="BH578" s="12"/>
      <c r="BI578" s="12"/>
      <c r="BJ578" s="12"/>
      <c r="BK578" s="12"/>
      <c r="BL578" s="12" t="s">
        <v>2292</v>
      </c>
      <c r="BM578" s="12" t="s">
        <v>2292</v>
      </c>
      <c r="BN578" s="12" t="s">
        <v>2292</v>
      </c>
      <c r="BO578" s="12" t="s">
        <v>2292</v>
      </c>
      <c r="BP578" s="12"/>
      <c r="BQ578" s="12"/>
      <c r="BR578" s="12"/>
      <c r="BS578" s="12"/>
      <c r="BT578" s="12"/>
      <c r="BU578" s="12"/>
      <c r="BV578" s="12"/>
      <c r="BW578" s="12"/>
      <c r="BX578" s="12"/>
      <c r="BY578" s="13" t="s">
        <v>313</v>
      </c>
      <c r="BZ578" s="13" t="s">
        <v>6171</v>
      </c>
      <c r="CA578" s="13"/>
      <c r="CB578" s="13"/>
      <c r="CC578" s="13"/>
      <c r="CD578" s="13"/>
      <c r="CE578" s="13"/>
      <c r="CF578" s="13"/>
    </row>
    <row r="579" spans="1:84" ht="18.600000000000001" customHeight="1" x14ac:dyDescent="0.25">
      <c r="A579" s="60" t="s">
        <v>211</v>
      </c>
      <c r="B579" s="2" t="s">
        <v>315</v>
      </c>
      <c r="C579" s="3" t="s">
        <v>3894</v>
      </c>
      <c r="D579" s="12" t="s">
        <v>2085</v>
      </c>
      <c r="E579" s="12" t="s">
        <v>3476</v>
      </c>
      <c r="F579" s="12" t="s">
        <v>4246</v>
      </c>
      <c r="G579" s="25">
        <v>50530</v>
      </c>
      <c r="H579" s="25">
        <v>23622</v>
      </c>
      <c r="I579" s="25">
        <v>4847</v>
      </c>
      <c r="J579" s="25">
        <v>18433</v>
      </c>
      <c r="K579" s="25">
        <v>19478</v>
      </c>
      <c r="L579" s="25">
        <v>35867</v>
      </c>
      <c r="M579" s="25">
        <v>55345</v>
      </c>
      <c r="N579" s="31">
        <v>0.35</v>
      </c>
      <c r="O579" s="25">
        <v>14931</v>
      </c>
      <c r="P579" s="25">
        <v>10171</v>
      </c>
      <c r="Q579" s="25">
        <v>2767</v>
      </c>
      <c r="R579" s="25">
        <v>187</v>
      </c>
      <c r="S579" s="25">
        <v>342</v>
      </c>
      <c r="T579" s="25">
        <v>230</v>
      </c>
      <c r="U579" s="61">
        <v>101</v>
      </c>
      <c r="V579" s="58">
        <v>3.5999999999999999E-3</v>
      </c>
      <c r="W579" s="33">
        <v>5.5999999999999999E-3</v>
      </c>
      <c r="X579" s="33">
        <v>2.9999999999999997E-4</v>
      </c>
      <c r="Y579" s="33">
        <v>3.5000000000000001E-3</v>
      </c>
      <c r="Z579" s="33">
        <v>3.8999999999999998E-3</v>
      </c>
      <c r="AA579" s="33">
        <v>1E-3</v>
      </c>
      <c r="AB579" s="25">
        <v>735</v>
      </c>
      <c r="AC579" s="25">
        <v>371</v>
      </c>
      <c r="AD579" s="25">
        <v>93</v>
      </c>
      <c r="AE579" s="25">
        <v>110</v>
      </c>
      <c r="AF579" s="25">
        <v>26</v>
      </c>
      <c r="AG579" s="25">
        <v>19</v>
      </c>
      <c r="AH579" s="25">
        <v>116</v>
      </c>
      <c r="AI579" s="12">
        <v>1.67</v>
      </c>
      <c r="AJ579" s="25">
        <v>21557</v>
      </c>
      <c r="AK579" s="25">
        <v>6272</v>
      </c>
      <c r="AL579" s="33">
        <v>0.4103</v>
      </c>
      <c r="AM579" s="3" t="s">
        <v>3894</v>
      </c>
      <c r="AN579" s="12" t="s">
        <v>3476</v>
      </c>
      <c r="AO579" s="12" t="s">
        <v>3476</v>
      </c>
      <c r="AP579" s="12" t="str">
        <f>"154758538210003"</f>
        <v>154758538210003</v>
      </c>
      <c r="AQ579" s="12" t="s">
        <v>2085</v>
      </c>
      <c r="AR579" s="12" t="s">
        <v>4615</v>
      </c>
      <c r="AS579" s="12"/>
      <c r="AT579" s="12"/>
      <c r="AU579" s="12" t="s">
        <v>324</v>
      </c>
      <c r="AV579" s="12" t="s">
        <v>5731</v>
      </c>
      <c r="AW579" s="12"/>
      <c r="AX579" s="12">
        <v>234</v>
      </c>
      <c r="AY579" s="12">
        <v>727</v>
      </c>
      <c r="AZ579" s="12">
        <v>0</v>
      </c>
      <c r="BA579" s="12" t="s">
        <v>3477</v>
      </c>
      <c r="BB579" s="12" t="s">
        <v>6991</v>
      </c>
      <c r="BC579" s="12" t="s">
        <v>6992</v>
      </c>
      <c r="BD579" s="12"/>
      <c r="BE579" s="12" t="s">
        <v>2291</v>
      </c>
      <c r="BF579" s="12"/>
      <c r="BG579" s="12"/>
      <c r="BH579" s="12"/>
      <c r="BI579" s="12" t="s">
        <v>3030</v>
      </c>
      <c r="BJ579" s="12" t="s">
        <v>3478</v>
      </c>
      <c r="BK579" s="12" t="s">
        <v>6993</v>
      </c>
      <c r="BL579" s="12" t="s">
        <v>2292</v>
      </c>
      <c r="BM579" s="12" t="s">
        <v>2292</v>
      </c>
      <c r="BN579" s="12" t="s">
        <v>2292</v>
      </c>
      <c r="BO579" s="12" t="s">
        <v>2292</v>
      </c>
      <c r="BP579" s="12" t="s">
        <v>3691</v>
      </c>
      <c r="BQ579" s="12"/>
      <c r="BR579" s="12"/>
      <c r="BS579" s="12"/>
      <c r="BT579" s="12" t="s">
        <v>2086</v>
      </c>
      <c r="BU579" s="12" t="s">
        <v>326</v>
      </c>
      <c r="BV579" s="12"/>
      <c r="BW579" s="12" t="s">
        <v>4703</v>
      </c>
      <c r="BX579" s="12"/>
      <c r="BY579" s="13" t="s">
        <v>313</v>
      </c>
      <c r="BZ579" s="13" t="s">
        <v>312</v>
      </c>
      <c r="CA579" s="13"/>
      <c r="CB579" s="13"/>
      <c r="CC579" s="13"/>
      <c r="CD579" s="13"/>
      <c r="CE579" s="13"/>
      <c r="CF579" s="13"/>
    </row>
    <row r="580" spans="1:84" ht="18.600000000000001" customHeight="1" x14ac:dyDescent="0.25">
      <c r="A580" s="60" t="s">
        <v>211</v>
      </c>
      <c r="B580" s="2" t="s">
        <v>335</v>
      </c>
      <c r="C580" s="3" t="s">
        <v>5198</v>
      </c>
      <c r="D580" s="12" t="s">
        <v>2087</v>
      </c>
      <c r="E580" s="12" t="s">
        <v>5132</v>
      </c>
      <c r="F580" s="12" t="s">
        <v>4442</v>
      </c>
      <c r="G580" s="25">
        <v>2072</v>
      </c>
      <c r="H580" s="25">
        <v>901</v>
      </c>
      <c r="I580" s="25">
        <v>111</v>
      </c>
      <c r="J580" s="25">
        <v>1015</v>
      </c>
      <c r="K580" s="25">
        <v>1467</v>
      </c>
      <c r="L580" s="25">
        <v>10292</v>
      </c>
      <c r="M580" s="25">
        <v>11759</v>
      </c>
      <c r="N580" s="31">
        <v>0.12</v>
      </c>
      <c r="O580" s="25">
        <v>1401</v>
      </c>
      <c r="P580" s="25">
        <v>0</v>
      </c>
      <c r="Q580" s="25">
        <v>40</v>
      </c>
      <c r="R580" s="25">
        <v>4</v>
      </c>
      <c r="S580" s="25">
        <v>0</v>
      </c>
      <c r="T580" s="25">
        <v>0</v>
      </c>
      <c r="U580" s="61">
        <v>1</v>
      </c>
      <c r="V580" s="58">
        <v>1.6999999999999999E-3</v>
      </c>
      <c r="W580" s="33">
        <v>8.9999999999999998E-4</v>
      </c>
      <c r="X580" s="33">
        <v>1.6000000000000001E-3</v>
      </c>
      <c r="Y580" s="33">
        <v>2.01E-2</v>
      </c>
      <c r="Z580" s="33">
        <v>9.9299999999999999E-2</v>
      </c>
      <c r="AA580" s="12" t="s">
        <v>3926</v>
      </c>
      <c r="AB580" s="25">
        <v>264</v>
      </c>
      <c r="AC580" s="25">
        <v>143</v>
      </c>
      <c r="AD580" s="25">
        <v>108</v>
      </c>
      <c r="AE580" s="25">
        <v>2</v>
      </c>
      <c r="AF580" s="25">
        <v>1</v>
      </c>
      <c r="AG580" s="25">
        <v>10</v>
      </c>
      <c r="AH580" s="25">
        <v>0</v>
      </c>
      <c r="AI580" s="12">
        <v>0.6</v>
      </c>
      <c r="AJ580" s="25">
        <v>4895</v>
      </c>
      <c r="AK580" s="25">
        <v>1110</v>
      </c>
      <c r="AL580" s="33">
        <v>0.29330000000000001</v>
      </c>
      <c r="AM580" s="3" t="s">
        <v>5198</v>
      </c>
      <c r="AN580" s="12" t="s">
        <v>5132</v>
      </c>
      <c r="AO580" s="12" t="s">
        <v>5132</v>
      </c>
      <c r="AP580" s="12" t="str">
        <f>"132405180115013"</f>
        <v>132405180115013</v>
      </c>
      <c r="AQ580" s="12" t="s">
        <v>2087</v>
      </c>
      <c r="AR580" s="12" t="s">
        <v>2088</v>
      </c>
      <c r="AS580" s="12" t="s">
        <v>4957</v>
      </c>
      <c r="AT580" s="12"/>
      <c r="AU580" s="12" t="s">
        <v>324</v>
      </c>
      <c r="AV580" s="12" t="s">
        <v>5731</v>
      </c>
      <c r="AW580" s="12"/>
      <c r="AX580" s="12">
        <v>156</v>
      </c>
      <c r="AY580" s="12">
        <v>37</v>
      </c>
      <c r="AZ580" s="12">
        <v>156</v>
      </c>
      <c r="BA580" s="12" t="s">
        <v>5372</v>
      </c>
      <c r="BB580" s="12" t="s">
        <v>6870</v>
      </c>
      <c r="BC580" s="12" t="s">
        <v>6871</v>
      </c>
      <c r="BD580" s="12"/>
      <c r="BE580" s="12" t="s">
        <v>2291</v>
      </c>
      <c r="BF580" s="12"/>
      <c r="BG580" s="12"/>
      <c r="BH580" s="12"/>
      <c r="BI580" s="12"/>
      <c r="BJ580" s="12"/>
      <c r="BK580" s="12"/>
      <c r="BL580" s="12" t="s">
        <v>2292</v>
      </c>
      <c r="BM580" s="12" t="s">
        <v>2292</v>
      </c>
      <c r="BN580" s="12" t="s">
        <v>2292</v>
      </c>
      <c r="BO580" s="12" t="s">
        <v>2292</v>
      </c>
      <c r="BP580" s="12"/>
      <c r="BQ580" s="12"/>
      <c r="BR580" s="12"/>
      <c r="BS580" s="12"/>
      <c r="BT580" s="12">
        <v>18686236894</v>
      </c>
      <c r="BU580" s="12" t="s">
        <v>326</v>
      </c>
      <c r="BV580" s="12"/>
      <c r="BW580" s="12" t="s">
        <v>2089</v>
      </c>
      <c r="BX580" s="12"/>
      <c r="BY580" s="13" t="s">
        <v>313</v>
      </c>
      <c r="BZ580" s="13" t="s">
        <v>6181</v>
      </c>
      <c r="CA580" s="13"/>
      <c r="CB580" s="13"/>
      <c r="CC580" s="13"/>
      <c r="CD580" s="13"/>
      <c r="CE580" s="13"/>
      <c r="CF580" s="13"/>
    </row>
    <row r="581" spans="1:84" ht="18.600000000000001" customHeight="1" x14ac:dyDescent="0.25">
      <c r="A581" s="60" t="s">
        <v>213</v>
      </c>
      <c r="B581" s="2" t="s">
        <v>4675</v>
      </c>
      <c r="C581" s="3" t="s">
        <v>3729</v>
      </c>
      <c r="D581" s="12" t="s">
        <v>3752</v>
      </c>
      <c r="E581" s="12" t="s">
        <v>3751</v>
      </c>
      <c r="F581" s="12" t="s">
        <v>4016</v>
      </c>
      <c r="G581" s="25">
        <v>204908135</v>
      </c>
      <c r="H581" s="25">
        <v>151134053</v>
      </c>
      <c r="I581" s="25">
        <v>15522650</v>
      </c>
      <c r="J581" s="25">
        <v>15029854</v>
      </c>
      <c r="K581" s="25">
        <v>770554371</v>
      </c>
      <c r="L581" s="25">
        <v>125501159</v>
      </c>
      <c r="M581" s="25">
        <v>896055530</v>
      </c>
      <c r="N581" s="31">
        <v>0.86</v>
      </c>
      <c r="O581" s="25">
        <v>101573902</v>
      </c>
      <c r="P581" s="25">
        <v>17975519</v>
      </c>
      <c r="Q581" s="25">
        <v>17247288</v>
      </c>
      <c r="R581" s="25">
        <v>681658</v>
      </c>
      <c r="S581" s="25">
        <v>2653458</v>
      </c>
      <c r="T581" s="25">
        <v>1120264</v>
      </c>
      <c r="U581" s="61">
        <v>1462609</v>
      </c>
      <c r="V581" s="58">
        <v>4.1000000000000003E-3</v>
      </c>
      <c r="W581" s="33">
        <v>4.7000000000000002E-3</v>
      </c>
      <c r="X581" s="33">
        <v>4.7000000000000002E-3</v>
      </c>
      <c r="Y581" s="33">
        <v>4.8999999999999998E-3</v>
      </c>
      <c r="Z581" s="33">
        <v>4.1000000000000003E-3</v>
      </c>
      <c r="AA581" s="33">
        <v>1.6999999999999999E-3</v>
      </c>
      <c r="AB581" s="25">
        <v>2230</v>
      </c>
      <c r="AC581" s="25">
        <v>841</v>
      </c>
      <c r="AD581" s="25">
        <v>174</v>
      </c>
      <c r="AE581" s="25">
        <v>410</v>
      </c>
      <c r="AF581" s="25">
        <v>683</v>
      </c>
      <c r="AG581" s="25">
        <v>94</v>
      </c>
      <c r="AH581" s="25">
        <v>28</v>
      </c>
      <c r="AI581" s="12">
        <v>5.08</v>
      </c>
      <c r="AJ581" s="25">
        <v>23132817</v>
      </c>
      <c r="AK581" s="25">
        <v>6369174</v>
      </c>
      <c r="AL581" s="33">
        <v>0.37990000000000002</v>
      </c>
      <c r="AM581" s="3" t="s">
        <v>3729</v>
      </c>
      <c r="AN581" s="12" t="s">
        <v>3751</v>
      </c>
      <c r="AO581" s="12" t="s">
        <v>3751</v>
      </c>
      <c r="AP581" s="12" t="str">
        <f>"153080620724"</f>
        <v>153080620724</v>
      </c>
      <c r="AQ581" s="12" t="s">
        <v>3752</v>
      </c>
      <c r="AR581" s="12" t="s">
        <v>3753</v>
      </c>
      <c r="AS581" s="12" t="s">
        <v>3754</v>
      </c>
      <c r="AT581" s="12"/>
      <c r="AU581" s="12" t="s">
        <v>319</v>
      </c>
      <c r="AV581" s="12"/>
      <c r="AW581" s="12"/>
      <c r="AX581" s="12">
        <v>1461</v>
      </c>
      <c r="AY581" s="12">
        <v>953613</v>
      </c>
      <c r="AZ581" s="12">
        <v>0</v>
      </c>
      <c r="BA581" s="12" t="s">
        <v>3755</v>
      </c>
      <c r="BB581" s="12" t="s">
        <v>6471</v>
      </c>
      <c r="BC581" s="12" t="s">
        <v>6472</v>
      </c>
      <c r="BD581" s="12"/>
      <c r="BE581" s="12" t="s">
        <v>2291</v>
      </c>
      <c r="BF581" s="12"/>
      <c r="BG581" s="12"/>
      <c r="BH581" s="12"/>
      <c r="BI581" s="12"/>
      <c r="BJ581" s="12"/>
      <c r="BK581" s="12"/>
      <c r="BL581" s="12" t="s">
        <v>2292</v>
      </c>
      <c r="BM581" s="12" t="s">
        <v>2292</v>
      </c>
      <c r="BN581" s="12" t="s">
        <v>2292</v>
      </c>
      <c r="BO581" s="12" t="s">
        <v>2291</v>
      </c>
      <c r="BP581" s="12"/>
      <c r="BQ581" s="12"/>
      <c r="BR581" s="12"/>
      <c r="BS581" s="12"/>
      <c r="BT581" s="12"/>
      <c r="BU581" s="12"/>
      <c r="BV581" s="12"/>
      <c r="BW581" s="12" t="s">
        <v>3756</v>
      </c>
      <c r="BX581" s="12"/>
      <c r="BY581" s="13" t="s">
        <v>313</v>
      </c>
      <c r="BZ581" s="13" t="s">
        <v>6169</v>
      </c>
      <c r="CA581" s="13"/>
      <c r="CB581" s="13"/>
      <c r="CC581" s="13"/>
      <c r="CD581" s="13"/>
      <c r="CE581" s="13"/>
      <c r="CF581" s="13"/>
    </row>
    <row r="582" spans="1:84" ht="18.600000000000001" customHeight="1" x14ac:dyDescent="0.25">
      <c r="A582" s="60" t="s">
        <v>213</v>
      </c>
      <c r="B582" s="2" t="s">
        <v>4675</v>
      </c>
      <c r="C582" s="3" t="s">
        <v>4740</v>
      </c>
      <c r="D582" s="12" t="s">
        <v>4705</v>
      </c>
      <c r="E582" s="12" t="s">
        <v>215</v>
      </c>
      <c r="F582" s="12" t="s">
        <v>4792</v>
      </c>
      <c r="G582" s="25">
        <v>3780467</v>
      </c>
      <c r="H582" s="25">
        <v>1924920</v>
      </c>
      <c r="I582" s="25">
        <v>899590</v>
      </c>
      <c r="J582" s="25">
        <v>255227</v>
      </c>
      <c r="K582" s="25">
        <v>12595562</v>
      </c>
      <c r="L582" s="25">
        <v>17964526</v>
      </c>
      <c r="M582" s="25">
        <v>30560088</v>
      </c>
      <c r="N582" s="31">
        <v>0.41</v>
      </c>
      <c r="O582" s="25">
        <v>14345378</v>
      </c>
      <c r="P582" s="25">
        <v>11106467</v>
      </c>
      <c r="Q582" s="25">
        <v>511502</v>
      </c>
      <c r="R582" s="25">
        <v>13269</v>
      </c>
      <c r="S582" s="25">
        <v>52512</v>
      </c>
      <c r="T582" s="25">
        <v>16480</v>
      </c>
      <c r="U582" s="61">
        <v>100302</v>
      </c>
      <c r="V582" s="58">
        <v>1.4500000000000001E-2</v>
      </c>
      <c r="W582" s="33">
        <v>1.3100000000000001E-2</v>
      </c>
      <c r="X582" s="33">
        <v>1.41E-2</v>
      </c>
      <c r="Y582" s="33">
        <v>1.0500000000000001E-2</v>
      </c>
      <c r="Z582" s="33">
        <v>3.0800000000000001E-2</v>
      </c>
      <c r="AA582" s="33">
        <v>4.7000000000000002E-3</v>
      </c>
      <c r="AB582" s="25">
        <v>142</v>
      </c>
      <c r="AC582" s="25">
        <v>16</v>
      </c>
      <c r="AD582" s="25">
        <v>13</v>
      </c>
      <c r="AE582" s="25">
        <v>3</v>
      </c>
      <c r="AF582" s="25">
        <v>32</v>
      </c>
      <c r="AG582" s="25">
        <v>77</v>
      </c>
      <c r="AH582" s="25">
        <v>1</v>
      </c>
      <c r="AI582" s="12">
        <v>0.32</v>
      </c>
      <c r="AJ582" s="25">
        <v>2356985</v>
      </c>
      <c r="AK582" s="25">
        <v>0</v>
      </c>
      <c r="AL582" s="31">
        <v>0</v>
      </c>
      <c r="AM582" s="3" t="s">
        <v>4740</v>
      </c>
      <c r="AN582" s="12" t="s">
        <v>215</v>
      </c>
      <c r="AO582" s="12" t="s">
        <v>215</v>
      </c>
      <c r="AP582" s="12" t="str">
        <f>"1220332944702810"</f>
        <v>1220332944702810</v>
      </c>
      <c r="AQ582" s="12" t="s">
        <v>4705</v>
      </c>
      <c r="AR582" s="12" t="s">
        <v>4706</v>
      </c>
      <c r="AS582" s="12" t="s">
        <v>4707</v>
      </c>
      <c r="AT582" s="12" t="s">
        <v>4707</v>
      </c>
      <c r="AU582" s="12" t="s">
        <v>424</v>
      </c>
      <c r="AV582" s="12"/>
      <c r="AW582" s="12"/>
      <c r="AX582" s="12">
        <v>0</v>
      </c>
      <c r="AY582" s="12">
        <v>17609</v>
      </c>
      <c r="AZ582" s="12">
        <v>0</v>
      </c>
      <c r="BA582" s="12" t="s">
        <v>4708</v>
      </c>
      <c r="BB582" s="12"/>
      <c r="BC582" s="12" t="s">
        <v>7054</v>
      </c>
      <c r="BD582" s="12"/>
      <c r="BE582" s="12" t="s">
        <v>2291</v>
      </c>
      <c r="BF582" s="12"/>
      <c r="BG582" s="12"/>
      <c r="BH582" s="12"/>
      <c r="BI582" s="12"/>
      <c r="BJ582" s="12"/>
      <c r="BK582" s="12"/>
      <c r="BL582" s="12" t="s">
        <v>2292</v>
      </c>
      <c r="BM582" s="12" t="s">
        <v>2292</v>
      </c>
      <c r="BN582" s="12" t="s">
        <v>2292</v>
      </c>
      <c r="BO582" s="12" t="s">
        <v>2291</v>
      </c>
      <c r="BP582" s="12"/>
      <c r="BQ582" s="12"/>
      <c r="BR582" s="12"/>
      <c r="BS582" s="12"/>
      <c r="BT582" s="12"/>
      <c r="BU582" s="12"/>
      <c r="BV582" s="12"/>
      <c r="BW582" s="12"/>
      <c r="BX582" s="12"/>
      <c r="BY582" s="13" t="s">
        <v>313</v>
      </c>
      <c r="BZ582" s="13" t="s">
        <v>312</v>
      </c>
      <c r="CA582" s="13"/>
      <c r="CB582" s="13"/>
      <c r="CC582" s="13"/>
      <c r="CD582" s="13"/>
      <c r="CE582" s="13"/>
      <c r="CF582" s="13"/>
    </row>
    <row r="583" spans="1:84" ht="18.600000000000001" customHeight="1" x14ac:dyDescent="0.25">
      <c r="A583" s="60" t="s">
        <v>213</v>
      </c>
      <c r="B583" s="2" t="s">
        <v>314</v>
      </c>
      <c r="C583" s="3" t="s">
        <v>3083</v>
      </c>
      <c r="D583" s="12" t="s">
        <v>2090</v>
      </c>
      <c r="E583" s="12" t="s">
        <v>214</v>
      </c>
      <c r="F583" s="12" t="s">
        <v>4736</v>
      </c>
      <c r="G583" s="25">
        <v>21633768</v>
      </c>
      <c r="H583" s="25">
        <v>9990194</v>
      </c>
      <c r="I583" s="25">
        <v>4716650</v>
      </c>
      <c r="J583" s="25">
        <v>2263694</v>
      </c>
      <c r="K583" s="25">
        <v>109266724</v>
      </c>
      <c r="L583" s="25">
        <v>90519098</v>
      </c>
      <c r="M583" s="25">
        <v>199785822</v>
      </c>
      <c r="N583" s="31">
        <v>0.55000000000000004</v>
      </c>
      <c r="O583" s="25">
        <v>21327721</v>
      </c>
      <c r="P583" s="25">
        <v>40050933</v>
      </c>
      <c r="Q583" s="25">
        <v>2380629</v>
      </c>
      <c r="R583" s="25">
        <v>97189</v>
      </c>
      <c r="S583" s="25">
        <v>644564</v>
      </c>
      <c r="T583" s="25">
        <v>139638</v>
      </c>
      <c r="U583" s="61">
        <v>1396107</v>
      </c>
      <c r="V583" s="58">
        <v>2.2000000000000001E-3</v>
      </c>
      <c r="W583" s="33">
        <v>4.4000000000000003E-3</v>
      </c>
      <c r="X583" s="33">
        <v>8.9999999999999998E-4</v>
      </c>
      <c r="Y583" s="33">
        <v>2.0999999999999999E-3</v>
      </c>
      <c r="Z583" s="33">
        <v>3.3999999999999998E-3</v>
      </c>
      <c r="AA583" s="33">
        <v>1E-3</v>
      </c>
      <c r="AB583" s="25">
        <v>1224</v>
      </c>
      <c r="AC583" s="25">
        <v>340</v>
      </c>
      <c r="AD583" s="25">
        <v>373</v>
      </c>
      <c r="AE583" s="25">
        <v>9</v>
      </c>
      <c r="AF583" s="25">
        <v>399</v>
      </c>
      <c r="AG583" s="25">
        <v>99</v>
      </c>
      <c r="AH583" s="25">
        <v>4</v>
      </c>
      <c r="AI583" s="12">
        <v>2.79</v>
      </c>
      <c r="AJ583" s="25">
        <v>8362917</v>
      </c>
      <c r="AK583" s="25">
        <v>0</v>
      </c>
      <c r="AL583" s="31">
        <v>0</v>
      </c>
      <c r="AM583" s="3" t="s">
        <v>3083</v>
      </c>
      <c r="AN583" s="12" t="s">
        <v>214</v>
      </c>
      <c r="AO583" s="12" t="s">
        <v>214</v>
      </c>
      <c r="AP583" s="12" t="str">
        <f>"1191441824276882"</f>
        <v>1191441824276882</v>
      </c>
      <c r="AQ583" s="12" t="s">
        <v>2090</v>
      </c>
      <c r="AR583" s="12" t="s">
        <v>4706</v>
      </c>
      <c r="AS583" s="12" t="s">
        <v>4714</v>
      </c>
      <c r="AT583" s="12"/>
      <c r="AU583" s="12" t="s">
        <v>6064</v>
      </c>
      <c r="AV583" s="12" t="s">
        <v>6065</v>
      </c>
      <c r="AW583" s="12"/>
      <c r="AX583" s="12">
        <v>5167794</v>
      </c>
      <c r="AY583" s="12">
        <v>197633</v>
      </c>
      <c r="AZ583" s="12">
        <v>5167794</v>
      </c>
      <c r="BA583" s="12" t="s">
        <v>2091</v>
      </c>
      <c r="BB583" s="12" t="s">
        <v>7390</v>
      </c>
      <c r="BC583" s="12" t="s">
        <v>7391</v>
      </c>
      <c r="BD583" s="12"/>
      <c r="BE583" s="12" t="s">
        <v>2291</v>
      </c>
      <c r="BF583" s="12"/>
      <c r="BG583" s="12"/>
      <c r="BH583" s="12"/>
      <c r="BI583" s="12" t="s">
        <v>4714</v>
      </c>
      <c r="BJ583" s="12" t="s">
        <v>4714</v>
      </c>
      <c r="BK583" s="12"/>
      <c r="BL583" s="12" t="s">
        <v>2292</v>
      </c>
      <c r="BM583" s="12" t="s">
        <v>2292</v>
      </c>
      <c r="BN583" s="12" t="s">
        <v>2292</v>
      </c>
      <c r="BO583" s="12" t="s">
        <v>2291</v>
      </c>
      <c r="BP583" s="12"/>
      <c r="BQ583" s="12"/>
      <c r="BR583" s="12"/>
      <c r="BS583" s="12"/>
      <c r="BT583" s="12"/>
      <c r="BU583" s="12" t="s">
        <v>326</v>
      </c>
      <c r="BV583" s="12"/>
      <c r="BW583" s="12" t="s">
        <v>4715</v>
      </c>
      <c r="BX583" s="12"/>
      <c r="BY583" s="13" t="s">
        <v>313</v>
      </c>
      <c r="BZ583" s="13" t="s">
        <v>312</v>
      </c>
      <c r="CA583" s="13"/>
      <c r="CB583" s="13"/>
      <c r="CC583" s="13"/>
      <c r="CD583" s="13"/>
      <c r="CE583" s="13" t="s">
        <v>6175</v>
      </c>
      <c r="CF583" s="13"/>
    </row>
    <row r="584" spans="1:84" ht="18.600000000000001" customHeight="1" x14ac:dyDescent="0.25">
      <c r="A584" s="60" t="s">
        <v>213</v>
      </c>
      <c r="B584" s="2" t="s">
        <v>315</v>
      </c>
      <c r="C584" s="4" t="s">
        <v>3856</v>
      </c>
      <c r="D584" s="12" t="s">
        <v>4406</v>
      </c>
      <c r="E584" s="12" t="s">
        <v>3857</v>
      </c>
      <c r="F584" s="12" t="s">
        <v>4407</v>
      </c>
      <c r="G584" s="25">
        <v>97944</v>
      </c>
      <c r="H584" s="25">
        <v>57727</v>
      </c>
      <c r="I584" s="25">
        <v>4722</v>
      </c>
      <c r="J584" s="25">
        <v>29865</v>
      </c>
      <c r="K584" s="25">
        <v>58788</v>
      </c>
      <c r="L584" s="25">
        <v>96157</v>
      </c>
      <c r="M584" s="25">
        <v>154945</v>
      </c>
      <c r="N584" s="31">
        <v>0.38</v>
      </c>
      <c r="O584" s="25">
        <v>107818</v>
      </c>
      <c r="P584" s="25">
        <v>23566</v>
      </c>
      <c r="Q584" s="25">
        <v>2663</v>
      </c>
      <c r="R584" s="25">
        <v>1295</v>
      </c>
      <c r="S584" s="25">
        <v>199</v>
      </c>
      <c r="T584" s="25">
        <v>1124</v>
      </c>
      <c r="U584" s="61">
        <v>337</v>
      </c>
      <c r="V584" s="58">
        <v>2.0000000000000001E-4</v>
      </c>
      <c r="W584" s="33">
        <v>2.9999999999999997E-4</v>
      </c>
      <c r="X584" s="33">
        <v>2.0000000000000001E-4</v>
      </c>
      <c r="Y584" s="33">
        <v>5.0000000000000001E-4</v>
      </c>
      <c r="Z584" s="33">
        <v>5.9999999999999995E-4</v>
      </c>
      <c r="AA584" s="33">
        <v>1E-4</v>
      </c>
      <c r="AB584" s="25">
        <v>1201</v>
      </c>
      <c r="AC584" s="25">
        <v>108</v>
      </c>
      <c r="AD584" s="25">
        <v>973</v>
      </c>
      <c r="AE584" s="25">
        <v>1</v>
      </c>
      <c r="AF584" s="25">
        <v>35</v>
      </c>
      <c r="AG584" s="25">
        <v>61</v>
      </c>
      <c r="AH584" s="25">
        <v>23</v>
      </c>
      <c r="AI584" s="12">
        <v>2.74</v>
      </c>
      <c r="AJ584" s="25">
        <v>332863</v>
      </c>
      <c r="AK584" s="25">
        <v>7680</v>
      </c>
      <c r="AL584" s="33">
        <v>2.3599999999999999E-2</v>
      </c>
      <c r="AM584" s="4" t="s">
        <v>3856</v>
      </c>
      <c r="AN584" s="12" t="s">
        <v>3857</v>
      </c>
      <c r="AO584" s="12" t="s">
        <v>3857</v>
      </c>
      <c r="AP584" s="12" t="str">
        <f>"65369158579"</f>
        <v>65369158579</v>
      </c>
      <c r="AQ584" s="12" t="s">
        <v>4406</v>
      </c>
      <c r="AR584" s="12" t="s">
        <v>4647</v>
      </c>
      <c r="AS584" s="12" t="s">
        <v>4648</v>
      </c>
      <c r="AT584" s="12"/>
      <c r="AU584" s="12" t="s">
        <v>324</v>
      </c>
      <c r="AV584" s="12"/>
      <c r="AW584" s="12"/>
      <c r="AX584" s="12">
        <v>0</v>
      </c>
      <c r="AY584" s="12">
        <v>988</v>
      </c>
      <c r="AZ584" s="12">
        <v>0</v>
      </c>
      <c r="BA584" s="12" t="s">
        <v>4649</v>
      </c>
      <c r="BB584" s="12"/>
      <c r="BC584" s="12" t="s">
        <v>7358</v>
      </c>
      <c r="BD584" s="12"/>
      <c r="BE584" s="12" t="s">
        <v>2291</v>
      </c>
      <c r="BF584" s="12"/>
      <c r="BG584" s="12"/>
      <c r="BH584" s="12"/>
      <c r="BI584" s="12"/>
      <c r="BJ584" s="12"/>
      <c r="BK584" s="12"/>
      <c r="BL584" s="12" t="s">
        <v>2292</v>
      </c>
      <c r="BM584" s="12" t="s">
        <v>2292</v>
      </c>
      <c r="BN584" s="12" t="s">
        <v>2292</v>
      </c>
      <c r="BO584" s="12" t="s">
        <v>2291</v>
      </c>
      <c r="BP584" s="12"/>
      <c r="BQ584" s="12"/>
      <c r="BR584" s="12"/>
      <c r="BS584" s="12"/>
      <c r="BT584" s="12" t="s">
        <v>4650</v>
      </c>
      <c r="BU584" s="12"/>
      <c r="BV584" s="12"/>
      <c r="BW584" s="12"/>
      <c r="BX584" s="12"/>
      <c r="BY584" s="13" t="s">
        <v>313</v>
      </c>
      <c r="BZ584" s="13" t="s">
        <v>6170</v>
      </c>
      <c r="CA584" s="13" t="s">
        <v>6170</v>
      </c>
      <c r="CB584" s="13" t="s">
        <v>6201</v>
      </c>
      <c r="CC584" s="13"/>
      <c r="CD584" s="13" t="s">
        <v>6195</v>
      </c>
      <c r="CE584" s="13"/>
      <c r="CF584" s="13"/>
    </row>
    <row r="585" spans="1:84" ht="18.600000000000001" customHeight="1" x14ac:dyDescent="0.25">
      <c r="A585" s="60" t="s">
        <v>213</v>
      </c>
      <c r="B585" s="2" t="s">
        <v>335</v>
      </c>
      <c r="C585" s="3" t="s">
        <v>3060</v>
      </c>
      <c r="D585" s="12" t="s">
        <v>2093</v>
      </c>
      <c r="E585" s="12" t="s">
        <v>2092</v>
      </c>
      <c r="F585" s="12" t="s">
        <v>4410</v>
      </c>
      <c r="G585" s="25">
        <v>1740148</v>
      </c>
      <c r="H585" s="25">
        <v>1190834</v>
      </c>
      <c r="I585" s="25">
        <v>142957</v>
      </c>
      <c r="J585" s="25">
        <v>276436</v>
      </c>
      <c r="K585" s="25">
        <v>12047266</v>
      </c>
      <c r="L585" s="25">
        <v>5611950</v>
      </c>
      <c r="M585" s="25">
        <v>17659216</v>
      </c>
      <c r="N585" s="31">
        <v>0.68</v>
      </c>
      <c r="O585" s="25">
        <v>475654</v>
      </c>
      <c r="P585" s="25">
        <v>1992338</v>
      </c>
      <c r="Q585" s="25">
        <v>73363</v>
      </c>
      <c r="R585" s="25">
        <v>9467</v>
      </c>
      <c r="S585" s="25">
        <v>12374</v>
      </c>
      <c r="T585" s="25">
        <v>13248</v>
      </c>
      <c r="U585" s="61">
        <v>21390</v>
      </c>
      <c r="V585" s="58">
        <v>2.9999999999999997E-4</v>
      </c>
      <c r="W585" s="33">
        <v>2.9999999999999997E-4</v>
      </c>
      <c r="X585" s="33">
        <v>2.9999999999999997E-4</v>
      </c>
      <c r="Y585" s="33">
        <v>2.0000000000000001E-4</v>
      </c>
      <c r="Z585" s="33">
        <v>4.0000000000000002E-4</v>
      </c>
      <c r="AA585" s="33">
        <v>2.0000000000000001E-4</v>
      </c>
      <c r="AB585" s="25">
        <v>3203</v>
      </c>
      <c r="AC585" s="25">
        <v>833</v>
      </c>
      <c r="AD585" s="25">
        <v>1231</v>
      </c>
      <c r="AE585" s="25">
        <v>11</v>
      </c>
      <c r="AF585" s="25">
        <v>1060</v>
      </c>
      <c r="AG585" s="25">
        <v>51</v>
      </c>
      <c r="AH585" s="25">
        <v>17</v>
      </c>
      <c r="AI585" s="12">
        <v>7.3</v>
      </c>
      <c r="AJ585" s="25">
        <v>1847894</v>
      </c>
      <c r="AK585" s="25">
        <v>124785</v>
      </c>
      <c r="AL585" s="33">
        <v>7.2400000000000006E-2</v>
      </c>
      <c r="AM585" s="3" t="s">
        <v>3060</v>
      </c>
      <c r="AN585" s="12" t="s">
        <v>2092</v>
      </c>
      <c r="AO585" s="12" t="s">
        <v>2092</v>
      </c>
      <c r="AP585" s="12" t="str">
        <f>"15877306073"</f>
        <v>15877306073</v>
      </c>
      <c r="AQ585" s="12" t="s">
        <v>2093</v>
      </c>
      <c r="AR585" s="12" t="s">
        <v>2094</v>
      </c>
      <c r="AS585" s="12" t="s">
        <v>2095</v>
      </c>
      <c r="AT585" s="12"/>
      <c r="AU585" s="12" t="s">
        <v>324</v>
      </c>
      <c r="AV585" s="12" t="s">
        <v>5731</v>
      </c>
      <c r="AW585" s="12"/>
      <c r="AX585" s="12">
        <v>73344</v>
      </c>
      <c r="AY585" s="12">
        <v>21134</v>
      </c>
      <c r="AZ585" s="12">
        <v>0</v>
      </c>
      <c r="BA585" s="12" t="s">
        <v>2096</v>
      </c>
      <c r="BB585" s="12" t="s">
        <v>7363</v>
      </c>
      <c r="BC585" s="12" t="s">
        <v>7364</v>
      </c>
      <c r="BD585" s="12"/>
      <c r="BE585" s="12" t="s">
        <v>2291</v>
      </c>
      <c r="BF585" s="12"/>
      <c r="BG585" s="12"/>
      <c r="BH585" s="12"/>
      <c r="BI585" s="12" t="s">
        <v>2097</v>
      </c>
      <c r="BJ585" s="12"/>
      <c r="BK585" s="12"/>
      <c r="BL585" s="12" t="s">
        <v>2292</v>
      </c>
      <c r="BM585" s="12" t="s">
        <v>2292</v>
      </c>
      <c r="BN585" s="12" t="s">
        <v>2292</v>
      </c>
      <c r="BO585" s="12" t="s">
        <v>2291</v>
      </c>
      <c r="BP585" s="12"/>
      <c r="BQ585" s="12"/>
      <c r="BR585" s="12"/>
      <c r="BS585" s="12"/>
      <c r="BT585" s="12" t="s">
        <v>2098</v>
      </c>
      <c r="BU585" s="12" t="s">
        <v>326</v>
      </c>
      <c r="BV585" s="12"/>
      <c r="BW585" s="12" t="s">
        <v>2099</v>
      </c>
      <c r="BX585" s="12"/>
      <c r="BY585" s="13" t="s">
        <v>313</v>
      </c>
      <c r="BZ585" s="13" t="s">
        <v>312</v>
      </c>
      <c r="CA585" s="13"/>
      <c r="CB585" s="13"/>
      <c r="CC585" s="13"/>
      <c r="CD585" s="13"/>
      <c r="CE585" s="13"/>
      <c r="CF585" s="13"/>
    </row>
    <row r="586" spans="1:84" ht="18.600000000000001" customHeight="1" x14ac:dyDescent="0.25">
      <c r="A586" s="60" t="s">
        <v>213</v>
      </c>
      <c r="B586" s="2" t="s">
        <v>335</v>
      </c>
      <c r="C586" s="3" t="s">
        <v>3059</v>
      </c>
      <c r="D586" s="12" t="s">
        <v>2101</v>
      </c>
      <c r="E586" s="12" t="s">
        <v>2100</v>
      </c>
      <c r="F586" s="12" t="s">
        <v>4405</v>
      </c>
      <c r="G586" s="25">
        <v>604031</v>
      </c>
      <c r="H586" s="25">
        <v>463265</v>
      </c>
      <c r="I586" s="25">
        <v>42465</v>
      </c>
      <c r="J586" s="25">
        <v>48826</v>
      </c>
      <c r="K586" s="25">
        <v>4458008</v>
      </c>
      <c r="L586" s="25">
        <v>283746</v>
      </c>
      <c r="M586" s="25">
        <v>4741754</v>
      </c>
      <c r="N586" s="31">
        <v>0.94</v>
      </c>
      <c r="O586" s="25">
        <v>46112</v>
      </c>
      <c r="P586" s="25">
        <v>96311</v>
      </c>
      <c r="Q586" s="25">
        <v>23183</v>
      </c>
      <c r="R586" s="25">
        <v>2103</v>
      </c>
      <c r="S586" s="25">
        <v>6372</v>
      </c>
      <c r="T586" s="25">
        <v>10302</v>
      </c>
      <c r="U586" s="61">
        <v>7420</v>
      </c>
      <c r="V586" s="58">
        <v>1E-3</v>
      </c>
      <c r="W586" s="33">
        <v>1E-3</v>
      </c>
      <c r="X586" s="33">
        <v>6.4999999999999997E-3</v>
      </c>
      <c r="Y586" s="33">
        <v>8.9999999999999998E-4</v>
      </c>
      <c r="Z586" s="33">
        <v>8.0000000000000004E-4</v>
      </c>
      <c r="AA586" s="33">
        <v>1E-4</v>
      </c>
      <c r="AB586" s="25">
        <v>877</v>
      </c>
      <c r="AC586" s="25">
        <v>571</v>
      </c>
      <c r="AD586" s="25">
        <v>8</v>
      </c>
      <c r="AE586" s="25">
        <v>1</v>
      </c>
      <c r="AF586" s="25">
        <v>292</v>
      </c>
      <c r="AG586" s="25">
        <v>4</v>
      </c>
      <c r="AH586" s="25">
        <v>1</v>
      </c>
      <c r="AI586" s="12">
        <v>2</v>
      </c>
      <c r="AJ586" s="25">
        <v>715911</v>
      </c>
      <c r="AK586" s="25">
        <v>41716</v>
      </c>
      <c r="AL586" s="33">
        <v>6.1899999999999997E-2</v>
      </c>
      <c r="AM586" s="3" t="s">
        <v>3059</v>
      </c>
      <c r="AN586" s="12" t="s">
        <v>2100</v>
      </c>
      <c r="AO586" s="12" t="s">
        <v>2100</v>
      </c>
      <c r="AP586" s="12" t="str">
        <f>"121064324573104"</f>
        <v>121064324573104</v>
      </c>
      <c r="AQ586" s="12" t="s">
        <v>2101</v>
      </c>
      <c r="AR586" s="12" t="s">
        <v>3817</v>
      </c>
      <c r="AS586" s="12" t="s">
        <v>2102</v>
      </c>
      <c r="AT586" s="12"/>
      <c r="AU586" s="12" t="s">
        <v>324</v>
      </c>
      <c r="AV586" s="12"/>
      <c r="AW586" s="12"/>
      <c r="AX586" s="12">
        <v>1104</v>
      </c>
      <c r="AY586" s="12">
        <v>6704</v>
      </c>
      <c r="AZ586" s="12">
        <v>0</v>
      </c>
      <c r="BA586" s="12" t="s">
        <v>2103</v>
      </c>
      <c r="BB586" s="12"/>
      <c r="BC586" s="12" t="s">
        <v>7357</v>
      </c>
      <c r="BD586" s="12"/>
      <c r="BE586" s="12" t="s">
        <v>2291</v>
      </c>
      <c r="BF586" s="12"/>
      <c r="BG586" s="12"/>
      <c r="BH586" s="12"/>
      <c r="BI586" s="12"/>
      <c r="BJ586" s="12"/>
      <c r="BK586" s="12"/>
      <c r="BL586" s="12" t="s">
        <v>2292</v>
      </c>
      <c r="BM586" s="12" t="s">
        <v>2292</v>
      </c>
      <c r="BN586" s="12" t="s">
        <v>2292</v>
      </c>
      <c r="BO586" s="12" t="s">
        <v>2291</v>
      </c>
      <c r="BP586" s="12"/>
      <c r="BQ586" s="12"/>
      <c r="BR586" s="12"/>
      <c r="BS586" s="12"/>
      <c r="BT586" s="12"/>
      <c r="BU586" s="12"/>
      <c r="BV586" s="12"/>
      <c r="BW586" s="12"/>
      <c r="BX586" s="12"/>
      <c r="BY586" s="13" t="s">
        <v>313</v>
      </c>
      <c r="BZ586" s="13" t="s">
        <v>6170</v>
      </c>
      <c r="CA586" s="13" t="s">
        <v>6170</v>
      </c>
      <c r="CB586" s="13" t="s">
        <v>6197</v>
      </c>
      <c r="CC586" s="13"/>
      <c r="CD586" s="13" t="s">
        <v>6198</v>
      </c>
      <c r="CE586" s="13"/>
      <c r="CF586" s="13"/>
    </row>
    <row r="587" spans="1:84" ht="18.600000000000001" customHeight="1" x14ac:dyDescent="0.25">
      <c r="A587" s="60" t="s">
        <v>213</v>
      </c>
      <c r="B587" s="2" t="s">
        <v>335</v>
      </c>
      <c r="C587" s="3" t="s">
        <v>3389</v>
      </c>
      <c r="D587" s="12" t="s">
        <v>2105</v>
      </c>
      <c r="E587" s="12" t="s">
        <v>2105</v>
      </c>
      <c r="F587" s="12" t="s">
        <v>4404</v>
      </c>
      <c r="G587" s="25">
        <v>31668</v>
      </c>
      <c r="H587" s="25">
        <v>21297</v>
      </c>
      <c r="I587" s="25">
        <v>3618</v>
      </c>
      <c r="J587" s="25">
        <v>4932</v>
      </c>
      <c r="K587" s="25">
        <v>331455</v>
      </c>
      <c r="L587" s="25">
        <v>97123</v>
      </c>
      <c r="M587" s="25">
        <v>428578</v>
      </c>
      <c r="N587" s="31">
        <v>0.77</v>
      </c>
      <c r="O587" s="25">
        <v>14946</v>
      </c>
      <c r="P587" s="25">
        <v>0</v>
      </c>
      <c r="Q587" s="25">
        <v>1310</v>
      </c>
      <c r="R587" s="25">
        <v>102</v>
      </c>
      <c r="S587" s="25">
        <v>258</v>
      </c>
      <c r="T587" s="25">
        <v>84</v>
      </c>
      <c r="U587" s="61">
        <v>64</v>
      </c>
      <c r="V587" s="58">
        <v>2.0999999999999999E-3</v>
      </c>
      <c r="W587" s="33">
        <v>2E-3</v>
      </c>
      <c r="X587" s="33">
        <v>8.9999999999999998E-4</v>
      </c>
      <c r="Y587" s="33">
        <v>1E-3</v>
      </c>
      <c r="Z587" s="33">
        <v>3.3999999999999998E-3</v>
      </c>
      <c r="AA587" s="33">
        <v>1.2999999999999999E-3</v>
      </c>
      <c r="AB587" s="25">
        <v>284</v>
      </c>
      <c r="AC587" s="25">
        <v>139</v>
      </c>
      <c r="AD587" s="25">
        <v>10</v>
      </c>
      <c r="AE587" s="25">
        <v>1</v>
      </c>
      <c r="AF587" s="25">
        <v>83</v>
      </c>
      <c r="AG587" s="25">
        <v>19</v>
      </c>
      <c r="AH587" s="25">
        <v>32</v>
      </c>
      <c r="AI587" s="12">
        <v>0.65</v>
      </c>
      <c r="AJ587" s="25">
        <v>59565</v>
      </c>
      <c r="AK587" s="25">
        <v>26882</v>
      </c>
      <c r="AL587" s="33">
        <v>0.82250000000000001</v>
      </c>
      <c r="AM587" s="3" t="s">
        <v>3389</v>
      </c>
      <c r="AN587" s="12" t="s">
        <v>2105</v>
      </c>
      <c r="AO587" s="12" t="s">
        <v>2105</v>
      </c>
      <c r="AP587" s="12" t="str">
        <f>"1502448146702052"</f>
        <v>1502448146702052</v>
      </c>
      <c r="AQ587" s="12" t="s">
        <v>2105</v>
      </c>
      <c r="AR587" s="12" t="s">
        <v>2094</v>
      </c>
      <c r="AS587" s="12"/>
      <c r="AT587" s="12"/>
      <c r="AU587" s="12" t="s">
        <v>324</v>
      </c>
      <c r="AV587" s="12"/>
      <c r="AW587" s="12"/>
      <c r="AX587" s="12">
        <v>0</v>
      </c>
      <c r="AY587" s="12">
        <v>1335</v>
      </c>
      <c r="AZ587" s="12">
        <v>0</v>
      </c>
      <c r="BA587" s="12" t="s">
        <v>3367</v>
      </c>
      <c r="BB587" s="12"/>
      <c r="BC587" s="12" t="s">
        <v>7356</v>
      </c>
      <c r="BD587" s="12"/>
      <c r="BE587" s="12" t="s">
        <v>2291</v>
      </c>
      <c r="BF587" s="12"/>
      <c r="BG587" s="12"/>
      <c r="BH587" s="12"/>
      <c r="BI587" s="12" t="s">
        <v>4646</v>
      </c>
      <c r="BJ587" s="12"/>
      <c r="BK587" s="12"/>
      <c r="BL587" s="12" t="s">
        <v>2292</v>
      </c>
      <c r="BM587" s="12" t="s">
        <v>2292</v>
      </c>
      <c r="BN587" s="12" t="s">
        <v>2292</v>
      </c>
      <c r="BO587" s="12" t="s">
        <v>2291</v>
      </c>
      <c r="BP587" s="12"/>
      <c r="BQ587" s="12"/>
      <c r="BR587" s="12"/>
      <c r="BS587" s="12"/>
      <c r="BT587" s="12"/>
      <c r="BU587" s="12"/>
      <c r="BV587" s="12"/>
      <c r="BW587" s="12"/>
      <c r="BX587" s="12"/>
      <c r="BY587" s="13" t="s">
        <v>313</v>
      </c>
      <c r="BZ587" s="13" t="s">
        <v>6168</v>
      </c>
      <c r="CA587" s="13" t="s">
        <v>6170</v>
      </c>
      <c r="CB587" s="13" t="s">
        <v>312</v>
      </c>
      <c r="CC587" s="13"/>
      <c r="CD587" s="13" t="s">
        <v>6198</v>
      </c>
      <c r="CE587" s="13"/>
      <c r="CF587" s="13"/>
    </row>
    <row r="588" spans="1:84" ht="18.600000000000001" customHeight="1" x14ac:dyDescent="0.25">
      <c r="A588" s="60" t="s">
        <v>213</v>
      </c>
      <c r="B588" s="2" t="s">
        <v>335</v>
      </c>
      <c r="C588" s="3" t="s">
        <v>3390</v>
      </c>
      <c r="D588" s="12" t="s">
        <v>3369</v>
      </c>
      <c r="E588" s="12" t="s">
        <v>3368</v>
      </c>
      <c r="F588" s="12" t="s">
        <v>4408</v>
      </c>
      <c r="G588" s="25">
        <v>4389</v>
      </c>
      <c r="H588" s="25">
        <v>2962</v>
      </c>
      <c r="I588" s="25">
        <v>211</v>
      </c>
      <c r="J588" s="25">
        <v>690</v>
      </c>
      <c r="K588" s="25">
        <v>7837</v>
      </c>
      <c r="L588" s="25">
        <v>13288</v>
      </c>
      <c r="M588" s="25">
        <v>21125</v>
      </c>
      <c r="N588" s="31">
        <v>0.37</v>
      </c>
      <c r="O588" s="25">
        <v>3098</v>
      </c>
      <c r="P588" s="25">
        <v>0</v>
      </c>
      <c r="Q588" s="25">
        <v>256</v>
      </c>
      <c r="R588" s="25">
        <v>44</v>
      </c>
      <c r="S588" s="25">
        <v>62</v>
      </c>
      <c r="T588" s="25">
        <v>147</v>
      </c>
      <c r="U588" s="61">
        <v>17</v>
      </c>
      <c r="V588" s="58">
        <v>5.7000000000000002E-3</v>
      </c>
      <c r="W588" s="33">
        <v>5.4999999999999997E-3</v>
      </c>
      <c r="X588" s="33">
        <v>1.0800000000000001E-2</v>
      </c>
      <c r="Y588" s="33">
        <v>0.01</v>
      </c>
      <c r="Z588" s="33">
        <v>6.7000000000000002E-3</v>
      </c>
      <c r="AA588" s="33">
        <v>3.7000000000000002E-3</v>
      </c>
      <c r="AB588" s="25">
        <v>248</v>
      </c>
      <c r="AC588" s="25">
        <v>190</v>
      </c>
      <c r="AD588" s="25">
        <v>7</v>
      </c>
      <c r="AE588" s="25">
        <v>1</v>
      </c>
      <c r="AF588" s="25">
        <v>35</v>
      </c>
      <c r="AG588" s="25">
        <v>14</v>
      </c>
      <c r="AH588" s="25">
        <v>1</v>
      </c>
      <c r="AI588" s="12">
        <v>0.56000000000000005</v>
      </c>
      <c r="AJ588" s="25">
        <v>3198</v>
      </c>
      <c r="AK588" s="25">
        <v>558</v>
      </c>
      <c r="AL588" s="33">
        <v>0.2114</v>
      </c>
      <c r="AM588" s="3" t="s">
        <v>3390</v>
      </c>
      <c r="AN588" s="12" t="s">
        <v>3368</v>
      </c>
      <c r="AO588" s="12" t="s">
        <v>3368</v>
      </c>
      <c r="AP588" s="12" t="str">
        <f>"1660706864216893"</f>
        <v>1660706864216893</v>
      </c>
      <c r="AQ588" s="12" t="s">
        <v>3369</v>
      </c>
      <c r="AR588" s="12" t="s">
        <v>2094</v>
      </c>
      <c r="AS588" s="12" t="s">
        <v>3370</v>
      </c>
      <c r="AT588" s="12"/>
      <c r="AU588" s="12" t="s">
        <v>324</v>
      </c>
      <c r="AV588" s="12"/>
      <c r="AW588" s="12"/>
      <c r="AX588" s="12">
        <v>0</v>
      </c>
      <c r="AY588" s="12">
        <v>70</v>
      </c>
      <c r="AZ588" s="12">
        <v>0</v>
      </c>
      <c r="BA588" s="12" t="s">
        <v>3371</v>
      </c>
      <c r="BB588" s="12"/>
      <c r="BC588" s="12" t="s">
        <v>7359</v>
      </c>
      <c r="BD588" s="12"/>
      <c r="BE588" s="12" t="s">
        <v>2291</v>
      </c>
      <c r="BF588" s="12"/>
      <c r="BG588" s="12"/>
      <c r="BH588" s="12"/>
      <c r="BI588" s="12" t="s">
        <v>3372</v>
      </c>
      <c r="BJ588" s="12"/>
      <c r="BK588" s="12"/>
      <c r="BL588" s="12" t="s">
        <v>2292</v>
      </c>
      <c r="BM588" s="12" t="s">
        <v>2292</v>
      </c>
      <c r="BN588" s="12" t="s">
        <v>2292</v>
      </c>
      <c r="BO588" s="12" t="s">
        <v>2291</v>
      </c>
      <c r="BP588" s="12"/>
      <c r="BQ588" s="12"/>
      <c r="BR588" s="12"/>
      <c r="BS588" s="12"/>
      <c r="BT588" s="12" t="s">
        <v>3373</v>
      </c>
      <c r="BU588" s="12"/>
      <c r="BV588" s="12"/>
      <c r="BW588" s="12"/>
      <c r="BX588" s="12"/>
      <c r="BY588" s="13" t="s">
        <v>313</v>
      </c>
      <c r="BZ588" s="13" t="s">
        <v>6174</v>
      </c>
      <c r="CA588" s="13" t="s">
        <v>6170</v>
      </c>
      <c r="CB588" s="13" t="s">
        <v>6201</v>
      </c>
      <c r="CC588" s="13"/>
      <c r="CD588" s="13" t="s">
        <v>6198</v>
      </c>
      <c r="CE588" s="13"/>
      <c r="CF588" s="13"/>
    </row>
    <row r="589" spans="1:84" ht="18.600000000000001" customHeight="1" x14ac:dyDescent="0.25">
      <c r="A589" s="60" t="s">
        <v>213</v>
      </c>
      <c r="B589" s="2" t="s">
        <v>335</v>
      </c>
      <c r="C589" s="3" t="s">
        <v>3391</v>
      </c>
      <c r="D589" s="12" t="s">
        <v>2104</v>
      </c>
      <c r="E589" s="12" t="s">
        <v>2104</v>
      </c>
      <c r="F589" s="12" t="s">
        <v>4409</v>
      </c>
      <c r="G589" s="25">
        <v>52193</v>
      </c>
      <c r="H589" s="25">
        <v>38577</v>
      </c>
      <c r="I589" s="25">
        <v>3093</v>
      </c>
      <c r="J589" s="25">
        <v>6233</v>
      </c>
      <c r="K589" s="25">
        <v>2646074</v>
      </c>
      <c r="L589" s="25">
        <v>714801</v>
      </c>
      <c r="M589" s="25">
        <v>3360875</v>
      </c>
      <c r="N589" s="31">
        <v>0.79</v>
      </c>
      <c r="O589" s="25">
        <v>255</v>
      </c>
      <c r="P589" s="25">
        <v>0</v>
      </c>
      <c r="Q589" s="25">
        <v>1043</v>
      </c>
      <c r="R589" s="25">
        <v>205</v>
      </c>
      <c r="S589" s="25">
        <v>818</v>
      </c>
      <c r="T589" s="25">
        <v>1485</v>
      </c>
      <c r="U589" s="61">
        <v>739</v>
      </c>
      <c r="V589" s="58">
        <v>4.1300000000000003E-2</v>
      </c>
      <c r="W589" s="33">
        <v>3.5000000000000001E-3</v>
      </c>
      <c r="X589" s="33">
        <v>8.9999999999999998E-4</v>
      </c>
      <c r="Y589" s="33">
        <v>8.8000000000000005E-3</v>
      </c>
      <c r="Z589" s="33">
        <v>0.13650000000000001</v>
      </c>
      <c r="AA589" s="12" t="s">
        <v>3926</v>
      </c>
      <c r="AB589" s="25">
        <v>276</v>
      </c>
      <c r="AC589" s="25">
        <v>189</v>
      </c>
      <c r="AD589" s="25">
        <v>6</v>
      </c>
      <c r="AE589" s="25">
        <v>10</v>
      </c>
      <c r="AF589" s="25">
        <v>67</v>
      </c>
      <c r="AG589" s="25">
        <v>4</v>
      </c>
      <c r="AH589" s="25">
        <v>0</v>
      </c>
      <c r="AI589" s="12">
        <v>0.63</v>
      </c>
      <c r="AJ589" s="25">
        <v>26469</v>
      </c>
      <c r="AK589" s="25">
        <v>25894</v>
      </c>
      <c r="AL589" s="33">
        <v>45.033000000000001</v>
      </c>
      <c r="AM589" s="3" t="s">
        <v>3391</v>
      </c>
      <c r="AN589" s="12" t="s">
        <v>2104</v>
      </c>
      <c r="AO589" s="12" t="s">
        <v>2104</v>
      </c>
      <c r="AP589" s="12" t="str">
        <f>"1621183234814991"</f>
        <v>1621183234814991</v>
      </c>
      <c r="AQ589" s="12" t="s">
        <v>2104</v>
      </c>
      <c r="AR589" s="12" t="s">
        <v>3694</v>
      </c>
      <c r="AS589" s="12" t="s">
        <v>3374</v>
      </c>
      <c r="AT589" s="12"/>
      <c r="AU589" s="12" t="s">
        <v>324</v>
      </c>
      <c r="AV589" s="12" t="s">
        <v>5731</v>
      </c>
      <c r="AW589" s="12"/>
      <c r="AX589" s="12">
        <v>0</v>
      </c>
      <c r="AY589" s="12">
        <v>1245</v>
      </c>
      <c r="AZ589" s="12">
        <v>0</v>
      </c>
      <c r="BA589" s="12" t="s">
        <v>3375</v>
      </c>
      <c r="BB589" s="12" t="s">
        <v>7360</v>
      </c>
      <c r="BC589" s="12" t="s">
        <v>7361</v>
      </c>
      <c r="BD589" s="12"/>
      <c r="BE589" s="12" t="s">
        <v>2291</v>
      </c>
      <c r="BF589" s="12"/>
      <c r="BG589" s="12"/>
      <c r="BH589" s="12"/>
      <c r="BI589" s="12" t="s">
        <v>3695</v>
      </c>
      <c r="BJ589" s="12"/>
      <c r="BK589" s="12" t="s">
        <v>7362</v>
      </c>
      <c r="BL589" s="12" t="s">
        <v>2292</v>
      </c>
      <c r="BM589" s="12" t="s">
        <v>2292</v>
      </c>
      <c r="BN589" s="12" t="s">
        <v>2292</v>
      </c>
      <c r="BO589" s="12" t="s">
        <v>2292</v>
      </c>
      <c r="BP589" s="12"/>
      <c r="BQ589" s="12"/>
      <c r="BR589" s="12"/>
      <c r="BS589" s="12"/>
      <c r="BT589" s="12"/>
      <c r="BU589" s="12" t="s">
        <v>326</v>
      </c>
      <c r="BV589" s="12"/>
      <c r="BW589" s="12" t="s">
        <v>3696</v>
      </c>
      <c r="BX589" s="12"/>
      <c r="BY589" s="13" t="s">
        <v>313</v>
      </c>
      <c r="BZ589" s="13" t="s">
        <v>6173</v>
      </c>
      <c r="CA589" s="13"/>
      <c r="CB589" s="13"/>
      <c r="CC589" s="13"/>
      <c r="CD589" s="13"/>
      <c r="CE589" s="13"/>
      <c r="CF589" s="13"/>
    </row>
    <row r="590" spans="1:84" ht="18.600000000000001" customHeight="1" x14ac:dyDescent="0.25">
      <c r="A590" s="60" t="s">
        <v>216</v>
      </c>
      <c r="B590" s="2" t="s">
        <v>2109</v>
      </c>
      <c r="C590" s="3" t="s">
        <v>2672</v>
      </c>
      <c r="D590" s="12" t="s">
        <v>2106</v>
      </c>
      <c r="E590" s="12" t="s">
        <v>2107</v>
      </c>
      <c r="F590" s="12" t="s">
        <v>4162</v>
      </c>
      <c r="G590" s="25">
        <v>1064725</v>
      </c>
      <c r="H590" s="25">
        <v>752542</v>
      </c>
      <c r="I590" s="25">
        <v>168376</v>
      </c>
      <c r="J590" s="25">
        <v>54866</v>
      </c>
      <c r="K590" s="25">
        <v>8697329</v>
      </c>
      <c r="L590" s="25">
        <v>2696856</v>
      </c>
      <c r="M590" s="25">
        <v>11394185</v>
      </c>
      <c r="N590" s="31">
        <v>0.76</v>
      </c>
      <c r="O590" s="25">
        <v>1550347</v>
      </c>
      <c r="P590" s="25">
        <v>252247</v>
      </c>
      <c r="Q590" s="25">
        <v>43437</v>
      </c>
      <c r="R590" s="25">
        <v>3611</v>
      </c>
      <c r="S590" s="25">
        <v>12631</v>
      </c>
      <c r="T590" s="25">
        <v>6060</v>
      </c>
      <c r="U590" s="61">
        <v>22973</v>
      </c>
      <c r="V590" s="58">
        <v>5.5999999999999999E-3</v>
      </c>
      <c r="W590" s="33">
        <v>6.6E-3</v>
      </c>
      <c r="X590" s="33">
        <v>3.5999999999999999E-3</v>
      </c>
      <c r="Y590" s="33">
        <v>1.3899999999999999E-2</v>
      </c>
      <c r="Z590" s="33">
        <v>5.5999999999999999E-3</v>
      </c>
      <c r="AA590" s="12" t="s">
        <v>3926</v>
      </c>
      <c r="AB590" s="25">
        <v>522</v>
      </c>
      <c r="AC590" s="25">
        <v>260</v>
      </c>
      <c r="AD590" s="25">
        <v>13</v>
      </c>
      <c r="AE590" s="25">
        <v>11</v>
      </c>
      <c r="AF590" s="25">
        <v>163</v>
      </c>
      <c r="AG590" s="25">
        <v>75</v>
      </c>
      <c r="AH590" s="25">
        <v>0</v>
      </c>
      <c r="AI590" s="12">
        <v>1.19</v>
      </c>
      <c r="AJ590" s="25">
        <v>394864</v>
      </c>
      <c r="AK590" s="25">
        <v>79130</v>
      </c>
      <c r="AL590" s="33">
        <v>0.25059999999999999</v>
      </c>
      <c r="AM590" s="3" t="s">
        <v>2672</v>
      </c>
      <c r="AN590" s="12" t="s">
        <v>2107</v>
      </c>
      <c r="AO590" s="12" t="s">
        <v>2107</v>
      </c>
      <c r="AP590" s="12" t="str">
        <f>"53772921578"</f>
        <v>53772921578</v>
      </c>
      <c r="AQ590" s="12" t="s">
        <v>2106</v>
      </c>
      <c r="AR590" s="12" t="s">
        <v>4586</v>
      </c>
      <c r="AS590" s="12" t="s">
        <v>6791</v>
      </c>
      <c r="AT590" s="12" t="s">
        <v>3613</v>
      </c>
      <c r="AU590" s="12" t="s">
        <v>309</v>
      </c>
      <c r="AV590" s="12"/>
      <c r="AW590" s="12"/>
      <c r="AX590" s="12">
        <v>4</v>
      </c>
      <c r="AY590" s="12">
        <v>15090</v>
      </c>
      <c r="AZ590" s="12">
        <v>0</v>
      </c>
      <c r="BA590" s="12" t="s">
        <v>2108</v>
      </c>
      <c r="BB590" s="12"/>
      <c r="BC590" s="12" t="s">
        <v>6792</v>
      </c>
      <c r="BD590" s="12"/>
      <c r="BE590" s="12" t="s">
        <v>2291</v>
      </c>
      <c r="BF590" s="12"/>
      <c r="BG590" s="12"/>
      <c r="BH590" s="12"/>
      <c r="BI590" s="12"/>
      <c r="BJ590" s="12"/>
      <c r="BK590" s="12"/>
      <c r="BL590" s="12" t="s">
        <v>2292</v>
      </c>
      <c r="BM590" s="12" t="s">
        <v>2292</v>
      </c>
      <c r="BN590" s="12" t="s">
        <v>2292</v>
      </c>
      <c r="BO590" s="12" t="s">
        <v>2291</v>
      </c>
      <c r="BP590" s="12"/>
      <c r="BQ590" s="12"/>
      <c r="BR590" s="12"/>
      <c r="BS590" s="12"/>
      <c r="BT590" s="12"/>
      <c r="BU590" s="12"/>
      <c r="BV590" s="12"/>
      <c r="BW590" s="12"/>
      <c r="BX590" s="12"/>
      <c r="BY590" s="13" t="s">
        <v>313</v>
      </c>
      <c r="BZ590" s="13" t="s">
        <v>6171</v>
      </c>
      <c r="CA590" s="13"/>
      <c r="CB590" s="13"/>
      <c r="CC590" s="13"/>
      <c r="CD590" s="13"/>
      <c r="CE590" s="13" t="s">
        <v>6175</v>
      </c>
      <c r="CF590" s="13"/>
    </row>
    <row r="591" spans="1:84" ht="18.600000000000001" customHeight="1" x14ac:dyDescent="0.25">
      <c r="A591" s="60" t="s">
        <v>216</v>
      </c>
      <c r="B591" s="2" t="s">
        <v>2115</v>
      </c>
      <c r="C591" s="3" t="s">
        <v>2612</v>
      </c>
      <c r="D591" s="12" t="s">
        <v>2111</v>
      </c>
      <c r="E591" s="12" t="s">
        <v>2110</v>
      </c>
      <c r="F591" s="12" t="s">
        <v>4119</v>
      </c>
      <c r="G591" s="25">
        <v>215421</v>
      </c>
      <c r="H591" s="25">
        <v>163018</v>
      </c>
      <c r="I591" s="25">
        <v>26335</v>
      </c>
      <c r="J591" s="25">
        <v>12107</v>
      </c>
      <c r="K591" s="25">
        <v>930633</v>
      </c>
      <c r="L591" s="25">
        <v>113604</v>
      </c>
      <c r="M591" s="25">
        <v>1044237</v>
      </c>
      <c r="N591" s="31">
        <v>0.89</v>
      </c>
      <c r="O591" s="25">
        <v>39487</v>
      </c>
      <c r="P591" s="25">
        <v>0</v>
      </c>
      <c r="Q591" s="25">
        <v>6763</v>
      </c>
      <c r="R591" s="25">
        <v>748</v>
      </c>
      <c r="S591" s="25">
        <v>1809</v>
      </c>
      <c r="T591" s="25">
        <v>1183</v>
      </c>
      <c r="U591" s="61">
        <v>3445</v>
      </c>
      <c r="V591" s="58">
        <v>2.3E-3</v>
      </c>
      <c r="W591" s="33">
        <v>2.3999999999999998E-3</v>
      </c>
      <c r="X591" s="33">
        <v>1.6000000000000001E-3</v>
      </c>
      <c r="Y591" s="33">
        <v>2.2000000000000001E-3</v>
      </c>
      <c r="Z591" s="33">
        <v>2.0999999999999999E-3</v>
      </c>
      <c r="AA591" s="33">
        <v>1.1000000000000001E-3</v>
      </c>
      <c r="AB591" s="25">
        <v>749</v>
      </c>
      <c r="AC591" s="25">
        <v>527</v>
      </c>
      <c r="AD591" s="25">
        <v>90</v>
      </c>
      <c r="AE591" s="25">
        <v>20</v>
      </c>
      <c r="AF591" s="25">
        <v>105</v>
      </c>
      <c r="AG591" s="25">
        <v>6</v>
      </c>
      <c r="AH591" s="25">
        <v>1</v>
      </c>
      <c r="AI591" s="12">
        <v>1.71</v>
      </c>
      <c r="AJ591" s="25">
        <v>132350</v>
      </c>
      <c r="AK591" s="25">
        <v>11797</v>
      </c>
      <c r="AL591" s="33">
        <v>9.7900000000000001E-2</v>
      </c>
      <c r="AM591" s="3" t="s">
        <v>2612</v>
      </c>
      <c r="AN591" s="12" t="s">
        <v>2110</v>
      </c>
      <c r="AO591" s="12" t="s">
        <v>2110</v>
      </c>
      <c r="AP591" s="12" t="str">
        <f>"463915156977725"</f>
        <v>463915156977725</v>
      </c>
      <c r="AQ591" s="12" t="s">
        <v>2111</v>
      </c>
      <c r="AR591" s="12" t="s">
        <v>2112</v>
      </c>
      <c r="AS591" s="12" t="s">
        <v>2613</v>
      </c>
      <c r="AT591" s="12"/>
      <c r="AU591" s="12" t="s">
        <v>309</v>
      </c>
      <c r="AV591" s="12" t="s">
        <v>5802</v>
      </c>
      <c r="AW591" s="12"/>
      <c r="AX591" s="12">
        <v>33</v>
      </c>
      <c r="AY591" s="12">
        <v>2507</v>
      </c>
      <c r="AZ591" s="12">
        <v>0</v>
      </c>
      <c r="BA591" s="12" t="s">
        <v>2113</v>
      </c>
      <c r="BB591" s="12" t="s">
        <v>6693</v>
      </c>
      <c r="BC591" s="12" t="s">
        <v>6694</v>
      </c>
      <c r="BD591" s="12"/>
      <c r="BE591" s="12" t="s">
        <v>2291</v>
      </c>
      <c r="BF591" s="12"/>
      <c r="BG591" s="12"/>
      <c r="BH591" s="12"/>
      <c r="BI591" s="12"/>
      <c r="BJ591" s="12"/>
      <c r="BK591" s="12"/>
      <c r="BL591" s="12" t="s">
        <v>2292</v>
      </c>
      <c r="BM591" s="12" t="s">
        <v>2292</v>
      </c>
      <c r="BN591" s="12" t="s">
        <v>2292</v>
      </c>
      <c r="BO591" s="12" t="s">
        <v>2291</v>
      </c>
      <c r="BP591" s="12"/>
      <c r="BQ591" s="12"/>
      <c r="BR591" s="12"/>
      <c r="BS591" s="12"/>
      <c r="BT591" s="12"/>
      <c r="BU591" s="12" t="s">
        <v>326</v>
      </c>
      <c r="BV591" s="12"/>
      <c r="BW591" s="12" t="s">
        <v>2114</v>
      </c>
      <c r="BX591" s="12"/>
      <c r="BY591" s="13" t="s">
        <v>313</v>
      </c>
      <c r="BZ591" s="13" t="s">
        <v>312</v>
      </c>
      <c r="CA591" s="13"/>
      <c r="CB591" s="13"/>
      <c r="CC591" s="13"/>
      <c r="CD591" s="13"/>
      <c r="CE591" s="13"/>
      <c r="CF591" s="13"/>
    </row>
    <row r="592" spans="1:84" ht="18.600000000000001" customHeight="1" x14ac:dyDescent="0.25">
      <c r="A592" s="60" t="s">
        <v>217</v>
      </c>
      <c r="B592" s="24" t="s">
        <v>3185</v>
      </c>
      <c r="C592" s="4" t="s">
        <v>3889</v>
      </c>
      <c r="D592" s="12" t="s">
        <v>4417</v>
      </c>
      <c r="E592" s="12" t="s">
        <v>4418</v>
      </c>
      <c r="F592" s="12" t="s">
        <v>4419</v>
      </c>
      <c r="G592" s="25">
        <v>24671</v>
      </c>
      <c r="H592" s="25">
        <v>20406</v>
      </c>
      <c r="I592" s="25">
        <v>2238</v>
      </c>
      <c r="J592" s="25">
        <v>767</v>
      </c>
      <c r="K592" s="25">
        <v>0</v>
      </c>
      <c r="L592" s="25">
        <v>0</v>
      </c>
      <c r="M592" s="25">
        <v>0</v>
      </c>
      <c r="N592" s="31">
        <v>0</v>
      </c>
      <c r="O592" s="25">
        <v>0</v>
      </c>
      <c r="P592" s="25">
        <v>0</v>
      </c>
      <c r="Q592" s="25">
        <v>1082</v>
      </c>
      <c r="R592" s="25">
        <v>100</v>
      </c>
      <c r="S592" s="25">
        <v>63</v>
      </c>
      <c r="T592" s="25">
        <v>7</v>
      </c>
      <c r="U592" s="61">
        <v>3</v>
      </c>
      <c r="V592" s="58">
        <v>2.06E-2</v>
      </c>
      <c r="W592" s="33">
        <v>2.06E-2</v>
      </c>
      <c r="X592" s="33">
        <v>9.7000000000000003E-3</v>
      </c>
      <c r="Y592" s="33">
        <v>2.2700000000000001E-2</v>
      </c>
      <c r="Z592" s="12" t="s">
        <v>3926</v>
      </c>
      <c r="AA592" s="12" t="s">
        <v>3926</v>
      </c>
      <c r="AB592" s="25">
        <v>68</v>
      </c>
      <c r="AC592" s="25">
        <v>59</v>
      </c>
      <c r="AD592" s="25">
        <v>4</v>
      </c>
      <c r="AE592" s="25">
        <v>5</v>
      </c>
      <c r="AF592" s="25">
        <v>0</v>
      </c>
      <c r="AG592" s="25">
        <v>0</v>
      </c>
      <c r="AH592" s="25">
        <v>0</v>
      </c>
      <c r="AI592" s="12">
        <v>0.15</v>
      </c>
      <c r="AJ592" s="25">
        <v>20163</v>
      </c>
      <c r="AK592" s="25">
        <v>4577</v>
      </c>
      <c r="AL592" s="33">
        <v>0.29370000000000002</v>
      </c>
      <c r="AM592" s="4" t="s">
        <v>3889</v>
      </c>
      <c r="AN592" s="12" t="s">
        <v>5485</v>
      </c>
      <c r="AO592" s="12" t="s">
        <v>4418</v>
      </c>
      <c r="AP592" s="12" t="str">
        <f>"1411979992394457"</f>
        <v>1411979992394457</v>
      </c>
      <c r="AQ592" s="12" t="s">
        <v>4417</v>
      </c>
      <c r="AR592" s="12" t="s">
        <v>4657</v>
      </c>
      <c r="AS592" s="12" t="s">
        <v>4658</v>
      </c>
      <c r="AT592" s="12"/>
      <c r="AU592" s="12" t="s">
        <v>309</v>
      </c>
      <c r="AV592" s="12"/>
      <c r="AW592" s="12"/>
      <c r="AX592" s="12">
        <v>0</v>
      </c>
      <c r="AY592" s="12">
        <v>234</v>
      </c>
      <c r="AZ592" s="12">
        <v>0</v>
      </c>
      <c r="BA592" s="12" t="s">
        <v>4659</v>
      </c>
      <c r="BB592" s="12" t="s">
        <v>6056</v>
      </c>
      <c r="BC592" s="12" t="s">
        <v>7375</v>
      </c>
      <c r="BD592" s="12" t="s">
        <v>4660</v>
      </c>
      <c r="BE592" s="12" t="s">
        <v>2291</v>
      </c>
      <c r="BF592" s="12"/>
      <c r="BG592" s="12"/>
      <c r="BH592" s="12"/>
      <c r="BI592" s="12"/>
      <c r="BJ592" s="12"/>
      <c r="BK592" s="12"/>
      <c r="BL592" s="12" t="s">
        <v>2292</v>
      </c>
      <c r="BM592" s="12" t="s">
        <v>2292</v>
      </c>
      <c r="BN592" s="12" t="s">
        <v>2292</v>
      </c>
      <c r="BO592" s="12" t="s">
        <v>2292</v>
      </c>
      <c r="BP592" s="12"/>
      <c r="BQ592" s="12"/>
      <c r="BR592" s="12"/>
      <c r="BS592" s="12"/>
      <c r="BT592" s="12">
        <v>8905350</v>
      </c>
      <c r="BU592" s="12"/>
      <c r="BV592" s="12"/>
      <c r="BW592" s="12" t="s">
        <v>2116</v>
      </c>
      <c r="BX592" s="12"/>
      <c r="BY592" s="13" t="s">
        <v>313</v>
      </c>
      <c r="BZ592" s="13" t="s">
        <v>312</v>
      </c>
      <c r="CA592" s="13"/>
      <c r="CB592" s="13"/>
      <c r="CC592" s="13"/>
      <c r="CD592" s="13"/>
      <c r="CE592" s="13"/>
      <c r="CF592" s="13"/>
    </row>
    <row r="593" spans="1:84" ht="18.600000000000001" customHeight="1" x14ac:dyDescent="0.25">
      <c r="A593" s="60" t="s">
        <v>217</v>
      </c>
      <c r="B593" s="2" t="s">
        <v>315</v>
      </c>
      <c r="C593" s="3" t="s">
        <v>2482</v>
      </c>
      <c r="D593" s="12" t="s">
        <v>2118</v>
      </c>
      <c r="E593" s="12" t="s">
        <v>2117</v>
      </c>
      <c r="F593" s="12" t="s">
        <v>4049</v>
      </c>
      <c r="G593" s="25">
        <v>164048</v>
      </c>
      <c r="H593" s="25">
        <v>124208</v>
      </c>
      <c r="I593" s="25">
        <v>7173</v>
      </c>
      <c r="J593" s="25">
        <v>22989</v>
      </c>
      <c r="K593" s="25">
        <v>178546</v>
      </c>
      <c r="L593" s="25">
        <v>199133</v>
      </c>
      <c r="M593" s="25">
        <v>377679</v>
      </c>
      <c r="N593" s="31">
        <v>0.47</v>
      </c>
      <c r="O593" s="25">
        <v>11802</v>
      </c>
      <c r="P593" s="25">
        <v>26138</v>
      </c>
      <c r="Q593" s="25">
        <v>7537</v>
      </c>
      <c r="R593" s="25">
        <v>970</v>
      </c>
      <c r="S593" s="25">
        <v>617</v>
      </c>
      <c r="T593" s="25">
        <v>320</v>
      </c>
      <c r="U593" s="61">
        <v>231</v>
      </c>
      <c r="V593" s="58">
        <v>1E-3</v>
      </c>
      <c r="W593" s="33">
        <v>1E-3</v>
      </c>
      <c r="X593" s="33">
        <v>5.9999999999999995E-4</v>
      </c>
      <c r="Y593" s="33">
        <v>1.1000000000000001E-3</v>
      </c>
      <c r="Z593" s="33">
        <v>1.1000000000000001E-3</v>
      </c>
      <c r="AA593" s="33">
        <v>4.0000000000000002E-4</v>
      </c>
      <c r="AB593" s="25">
        <v>1350</v>
      </c>
      <c r="AC593" s="25">
        <v>1163</v>
      </c>
      <c r="AD593" s="25">
        <v>40</v>
      </c>
      <c r="AE593" s="25">
        <v>12</v>
      </c>
      <c r="AF593" s="25">
        <v>112</v>
      </c>
      <c r="AG593" s="25">
        <v>12</v>
      </c>
      <c r="AH593" s="25">
        <v>11</v>
      </c>
      <c r="AI593" s="12">
        <v>3.08</v>
      </c>
      <c r="AJ593" s="25">
        <v>129953</v>
      </c>
      <c r="AK593" s="25">
        <v>11692</v>
      </c>
      <c r="AL593" s="33">
        <v>9.8900000000000002E-2</v>
      </c>
      <c r="AM593" s="3" t="s">
        <v>2482</v>
      </c>
      <c r="AN593" s="12" t="s">
        <v>2117</v>
      </c>
      <c r="AO593" s="12" t="s">
        <v>2117</v>
      </c>
      <c r="AP593" s="12" t="str">
        <f>"207532522613024"</f>
        <v>207532522613024</v>
      </c>
      <c r="AQ593" s="12" t="s">
        <v>2118</v>
      </c>
      <c r="AR593" s="12" t="s">
        <v>2119</v>
      </c>
      <c r="AS593" s="12" t="s">
        <v>2483</v>
      </c>
      <c r="AT593" s="12"/>
      <c r="AU593" s="12" t="s">
        <v>324</v>
      </c>
      <c r="AV593" s="12" t="s">
        <v>5820</v>
      </c>
      <c r="AW593" s="12"/>
      <c r="AX593" s="12">
        <v>684</v>
      </c>
      <c r="AY593" s="12">
        <v>3299</v>
      </c>
      <c r="AZ593" s="12">
        <v>0</v>
      </c>
      <c r="BA593" s="12" t="s">
        <v>2120</v>
      </c>
      <c r="BB593" s="12" t="s">
        <v>6545</v>
      </c>
      <c r="BC593" s="12" t="s">
        <v>6546</v>
      </c>
      <c r="BD593" s="12"/>
      <c r="BE593" s="12" t="s">
        <v>2291</v>
      </c>
      <c r="BF593" s="12"/>
      <c r="BG593" s="12"/>
      <c r="BH593" s="12"/>
      <c r="BI593" s="12" t="s">
        <v>4552</v>
      </c>
      <c r="BJ593" s="12"/>
      <c r="BK593" s="12"/>
      <c r="BL593" s="12" t="s">
        <v>2292</v>
      </c>
      <c r="BM593" s="12" t="s">
        <v>2292</v>
      </c>
      <c r="BN593" s="12" t="s">
        <v>2292</v>
      </c>
      <c r="BO593" s="12" t="s">
        <v>2291</v>
      </c>
      <c r="BP593" s="12"/>
      <c r="BQ593" s="12"/>
      <c r="BR593" s="12"/>
      <c r="BS593" s="12"/>
      <c r="BT593" s="12"/>
      <c r="BU593" s="12" t="s">
        <v>326</v>
      </c>
      <c r="BV593" s="12" t="s">
        <v>2484</v>
      </c>
      <c r="BW593" s="12" t="s">
        <v>4553</v>
      </c>
      <c r="BX593" s="12"/>
      <c r="BY593" s="13" t="s">
        <v>313</v>
      </c>
      <c r="BZ593" s="13" t="s">
        <v>6177</v>
      </c>
      <c r="CA593" s="13" t="s">
        <v>6170</v>
      </c>
      <c r="CB593" s="13" t="s">
        <v>6197</v>
      </c>
      <c r="CC593" s="13"/>
      <c r="CD593" s="13" t="s">
        <v>6198</v>
      </c>
      <c r="CE593" s="13"/>
      <c r="CF593" s="13" t="s">
        <v>6178</v>
      </c>
    </row>
    <row r="594" spans="1:84" ht="18.600000000000001" customHeight="1" x14ac:dyDescent="0.25">
      <c r="A594" s="60" t="s">
        <v>217</v>
      </c>
      <c r="B594" s="2" t="s">
        <v>335</v>
      </c>
      <c r="C594" s="3" t="s">
        <v>2487</v>
      </c>
      <c r="D594" s="12" t="s">
        <v>3245</v>
      </c>
      <c r="E594" s="12" t="s">
        <v>2121</v>
      </c>
      <c r="F594" s="12" t="s">
        <v>4051</v>
      </c>
      <c r="G594" s="25">
        <v>776</v>
      </c>
      <c r="H594" s="25">
        <v>691</v>
      </c>
      <c r="I594" s="25">
        <v>7</v>
      </c>
      <c r="J594" s="25">
        <v>58</v>
      </c>
      <c r="K594" s="25">
        <v>0</v>
      </c>
      <c r="L594" s="25">
        <v>0</v>
      </c>
      <c r="M594" s="25">
        <v>0</v>
      </c>
      <c r="N594" s="31">
        <v>0</v>
      </c>
      <c r="O594" s="25">
        <v>894</v>
      </c>
      <c r="P594" s="25">
        <v>0</v>
      </c>
      <c r="Q594" s="25">
        <v>20</v>
      </c>
      <c r="R594" s="25">
        <v>0</v>
      </c>
      <c r="S594" s="25">
        <v>0</v>
      </c>
      <c r="T594" s="25">
        <v>0</v>
      </c>
      <c r="U594" s="61">
        <v>0</v>
      </c>
      <c r="V594" s="58">
        <v>2.2000000000000001E-3</v>
      </c>
      <c r="W594" s="33">
        <v>1.9E-3</v>
      </c>
      <c r="X594" s="33">
        <v>1.6000000000000001E-3</v>
      </c>
      <c r="Y594" s="33">
        <v>4.1999999999999997E-3</v>
      </c>
      <c r="Z594" s="12" t="s">
        <v>3926</v>
      </c>
      <c r="AA594" s="33">
        <v>3.0000000000000001E-3</v>
      </c>
      <c r="AB594" s="25">
        <v>94</v>
      </c>
      <c r="AC594" s="25">
        <v>76</v>
      </c>
      <c r="AD594" s="25">
        <v>7</v>
      </c>
      <c r="AE594" s="25">
        <v>3</v>
      </c>
      <c r="AF594" s="25">
        <v>0</v>
      </c>
      <c r="AG594" s="25">
        <v>6</v>
      </c>
      <c r="AH594" s="25">
        <v>2</v>
      </c>
      <c r="AI594" s="12">
        <v>0.21</v>
      </c>
      <c r="AJ594" s="25">
        <v>3893</v>
      </c>
      <c r="AK594" s="25">
        <v>466</v>
      </c>
      <c r="AL594" s="33">
        <v>0.13600000000000001</v>
      </c>
      <c r="AM594" s="3" t="s">
        <v>2487</v>
      </c>
      <c r="AN594" s="12" t="s">
        <v>2121</v>
      </c>
      <c r="AO594" s="12" t="s">
        <v>2121</v>
      </c>
      <c r="AP594" s="12" t="str">
        <f>"201295699880814"</f>
        <v>201295699880814</v>
      </c>
      <c r="AQ594" s="12" t="s">
        <v>3245</v>
      </c>
      <c r="AR594" s="12" t="s">
        <v>2122</v>
      </c>
      <c r="AS594" s="12" t="s">
        <v>2123</v>
      </c>
      <c r="AT594" s="12"/>
      <c r="AU594" s="12" t="s">
        <v>324</v>
      </c>
      <c r="AV594" s="12"/>
      <c r="AW594" s="12" t="s">
        <v>2124</v>
      </c>
      <c r="AX594" s="12">
        <v>0</v>
      </c>
      <c r="AY594" s="12">
        <v>10</v>
      </c>
      <c r="AZ594" s="12">
        <v>0</v>
      </c>
      <c r="BA594" s="12" t="s">
        <v>2125</v>
      </c>
      <c r="BB594" s="12" t="s">
        <v>5822</v>
      </c>
      <c r="BC594" s="12" t="s">
        <v>6548</v>
      </c>
      <c r="BD594" s="12"/>
      <c r="BE594" s="12" t="s">
        <v>2291</v>
      </c>
      <c r="BF594" s="12"/>
      <c r="BG594" s="12"/>
      <c r="BH594" s="12"/>
      <c r="BI594" s="12" t="s">
        <v>2488</v>
      </c>
      <c r="BJ594" s="12" t="s">
        <v>2489</v>
      </c>
      <c r="BK594" s="12" t="s">
        <v>6549</v>
      </c>
      <c r="BL594" s="12" t="s">
        <v>2292</v>
      </c>
      <c r="BM594" s="12" t="s">
        <v>2292</v>
      </c>
      <c r="BN594" s="12" t="s">
        <v>2292</v>
      </c>
      <c r="BO594" s="12" t="s">
        <v>2292</v>
      </c>
      <c r="BP594" s="12" t="s">
        <v>2126</v>
      </c>
      <c r="BQ594" s="12"/>
      <c r="BR594" s="12"/>
      <c r="BS594" s="12"/>
      <c r="BT594" s="12" t="s">
        <v>2127</v>
      </c>
      <c r="BU594" s="12"/>
      <c r="BV594" s="12" t="s">
        <v>2128</v>
      </c>
      <c r="BW594" s="12" t="s">
        <v>2129</v>
      </c>
      <c r="BX594" s="12"/>
      <c r="BY594" s="13" t="s">
        <v>313</v>
      </c>
      <c r="BZ594" s="13" t="s">
        <v>312</v>
      </c>
      <c r="CA594" s="13"/>
      <c r="CB594" s="13"/>
      <c r="CC594" s="13"/>
      <c r="CD594" s="13"/>
      <c r="CE594" s="13"/>
      <c r="CF594" s="13"/>
    </row>
    <row r="595" spans="1:84" ht="18.600000000000001" customHeight="1" x14ac:dyDescent="0.25">
      <c r="A595" s="19" t="s">
        <v>218</v>
      </c>
      <c r="B595" s="2" t="s">
        <v>3138</v>
      </c>
      <c r="C595" s="4" t="s">
        <v>3861</v>
      </c>
      <c r="D595" s="12" t="s">
        <v>4456</v>
      </c>
      <c r="E595" s="12"/>
      <c r="F595" s="12" t="s">
        <v>4457</v>
      </c>
      <c r="G595" s="25">
        <v>0</v>
      </c>
      <c r="H595" s="25">
        <v>0</v>
      </c>
      <c r="I595" s="25">
        <v>0</v>
      </c>
      <c r="J595" s="25">
        <v>0</v>
      </c>
      <c r="K595" s="25">
        <v>0</v>
      </c>
      <c r="L595" s="25">
        <v>0</v>
      </c>
      <c r="M595" s="25">
        <v>0</v>
      </c>
      <c r="N595" s="31">
        <v>0</v>
      </c>
      <c r="O595" s="25">
        <v>0</v>
      </c>
      <c r="P595" s="25">
        <v>0</v>
      </c>
      <c r="Q595" s="25">
        <v>0</v>
      </c>
      <c r="R595" s="25">
        <v>0</v>
      </c>
      <c r="S595" s="25">
        <v>0</v>
      </c>
      <c r="T595" s="25">
        <v>0</v>
      </c>
      <c r="U595" s="61">
        <v>0</v>
      </c>
      <c r="V595" s="59"/>
      <c r="W595" s="12" t="s">
        <v>3926</v>
      </c>
      <c r="X595" s="12" t="s">
        <v>3926</v>
      </c>
      <c r="Y595" s="12" t="s">
        <v>3926</v>
      </c>
      <c r="Z595" s="12" t="s">
        <v>3926</v>
      </c>
      <c r="AA595" s="12" t="s">
        <v>3926</v>
      </c>
      <c r="AB595" s="25" t="s">
        <v>3927</v>
      </c>
      <c r="AC595" s="25">
        <v>0</v>
      </c>
      <c r="AD595" s="25">
        <v>0</v>
      </c>
      <c r="AE595" s="25">
        <v>0</v>
      </c>
      <c r="AF595" s="25">
        <v>0</v>
      </c>
      <c r="AG595" s="25">
        <v>0</v>
      </c>
      <c r="AH595" s="25">
        <v>0</v>
      </c>
      <c r="AI595" s="12">
        <v>0</v>
      </c>
      <c r="AJ595" s="25">
        <v>1201</v>
      </c>
      <c r="AK595" s="25">
        <v>26</v>
      </c>
      <c r="AL595" s="33">
        <v>2.2100000000000002E-2</v>
      </c>
      <c r="AM595" s="4" t="s">
        <v>3861</v>
      </c>
      <c r="AN595" s="12" t="s">
        <v>5311</v>
      </c>
      <c r="AO595" s="12"/>
      <c r="AP595" s="12" t="str">
        <f>"225121217531031"</f>
        <v>225121217531031</v>
      </c>
      <c r="AQ595" s="12" t="s">
        <v>4456</v>
      </c>
      <c r="AR595" s="12"/>
      <c r="AS595" s="12" t="s">
        <v>4566</v>
      </c>
      <c r="AT595" s="12" t="s">
        <v>4567</v>
      </c>
      <c r="AU595" s="12" t="s">
        <v>309</v>
      </c>
      <c r="AV595" s="12"/>
      <c r="AW595" s="12"/>
      <c r="AX595" s="12">
        <v>0</v>
      </c>
      <c r="AY595" s="12">
        <v>1</v>
      </c>
      <c r="AZ595" s="12">
        <v>0</v>
      </c>
      <c r="BA595" s="12" t="s">
        <v>4568</v>
      </c>
      <c r="BB595" s="12" t="s">
        <v>5841</v>
      </c>
      <c r="BC595" s="12" t="s">
        <v>6653</v>
      </c>
      <c r="BD595" s="12"/>
      <c r="BE595" s="12" t="s">
        <v>2291</v>
      </c>
      <c r="BF595" s="12"/>
      <c r="BG595" s="12"/>
      <c r="BH595" s="12"/>
      <c r="BI595" s="12"/>
      <c r="BJ595" s="12"/>
      <c r="BK595" s="12"/>
      <c r="BL595" s="12" t="s">
        <v>2292</v>
      </c>
      <c r="BM595" s="12" t="s">
        <v>2292</v>
      </c>
      <c r="BN595" s="12" t="s">
        <v>2292</v>
      </c>
      <c r="BO595" s="12" t="s">
        <v>2292</v>
      </c>
      <c r="BP595" s="12"/>
      <c r="BQ595" s="12"/>
      <c r="BR595" s="12"/>
      <c r="BS595" s="12"/>
      <c r="BT595" s="12"/>
      <c r="BU595" s="12"/>
      <c r="BV595" s="12"/>
      <c r="BW595" s="12" t="s">
        <v>4569</v>
      </c>
      <c r="BX595" s="12"/>
      <c r="BY595" s="2" t="s">
        <v>344</v>
      </c>
      <c r="BZ595" s="13" t="s">
        <v>6170</v>
      </c>
      <c r="CA595" s="13" t="s">
        <v>6170</v>
      </c>
      <c r="CB595" s="13" t="s">
        <v>6197</v>
      </c>
      <c r="CC595" s="13"/>
      <c r="CD595" s="13" t="s">
        <v>6198</v>
      </c>
      <c r="CE595" s="13"/>
      <c r="CF595" s="13"/>
    </row>
    <row r="596" spans="1:84" ht="18.600000000000001" customHeight="1" x14ac:dyDescent="0.25">
      <c r="A596" s="19" t="s">
        <v>218</v>
      </c>
      <c r="B596" s="2" t="s">
        <v>314</v>
      </c>
      <c r="C596" s="3" t="s">
        <v>2908</v>
      </c>
      <c r="D596" s="12" t="s">
        <v>2131</v>
      </c>
      <c r="E596" s="12" t="s">
        <v>2130</v>
      </c>
      <c r="F596" s="12" t="s">
        <v>4312</v>
      </c>
      <c r="G596" s="25">
        <v>23324</v>
      </c>
      <c r="H596" s="25">
        <v>17449</v>
      </c>
      <c r="I596" s="25">
        <v>605</v>
      </c>
      <c r="J596" s="25">
        <v>3610</v>
      </c>
      <c r="K596" s="25">
        <v>37573</v>
      </c>
      <c r="L596" s="25">
        <v>49597</v>
      </c>
      <c r="M596" s="25">
        <v>87170</v>
      </c>
      <c r="N596" s="31">
        <v>0.43</v>
      </c>
      <c r="O596" s="25">
        <v>2278</v>
      </c>
      <c r="P596" s="25">
        <v>11548</v>
      </c>
      <c r="Q596" s="25">
        <v>1336</v>
      </c>
      <c r="R596" s="25">
        <v>122</v>
      </c>
      <c r="S596" s="25">
        <v>32</v>
      </c>
      <c r="T596" s="25">
        <v>157</v>
      </c>
      <c r="U596" s="61">
        <v>12</v>
      </c>
      <c r="V596" s="58">
        <v>1.2800000000000001E-2</v>
      </c>
      <c r="W596" s="33">
        <v>1.3299999999999999E-2</v>
      </c>
      <c r="X596" s="33">
        <v>9.7999999999999997E-3</v>
      </c>
      <c r="Y596" s="33">
        <v>1.2200000000000001E-2</v>
      </c>
      <c r="Z596" s="33">
        <v>1.8700000000000001E-2</v>
      </c>
      <c r="AA596" s="33">
        <v>7.1999999999999998E-3</v>
      </c>
      <c r="AB596" s="25">
        <v>392</v>
      </c>
      <c r="AC596" s="25">
        <v>273</v>
      </c>
      <c r="AD596" s="25">
        <v>61</v>
      </c>
      <c r="AE596" s="25">
        <v>10</v>
      </c>
      <c r="AF596" s="25">
        <v>33</v>
      </c>
      <c r="AG596" s="25">
        <v>6</v>
      </c>
      <c r="AH596" s="25">
        <v>9</v>
      </c>
      <c r="AI596" s="12">
        <v>0.89</v>
      </c>
      <c r="AJ596" s="25">
        <v>5541</v>
      </c>
      <c r="AK596" s="25">
        <v>1943</v>
      </c>
      <c r="AL596" s="33">
        <v>0.54</v>
      </c>
      <c r="AM596" s="3" t="s">
        <v>2908</v>
      </c>
      <c r="AN596" s="12" t="s">
        <v>2130</v>
      </c>
      <c r="AO596" s="12" t="s">
        <v>2130</v>
      </c>
      <c r="AP596" s="12" t="str">
        <f>"1418629561743451"</f>
        <v>1418629561743451</v>
      </c>
      <c r="AQ596" s="12" t="s">
        <v>2131</v>
      </c>
      <c r="AR596" s="12" t="s">
        <v>3666</v>
      </c>
      <c r="AS596" s="12" t="s">
        <v>3459</v>
      </c>
      <c r="AT596" s="12"/>
      <c r="AU596" s="12" t="s">
        <v>324</v>
      </c>
      <c r="AV596" s="12" t="s">
        <v>5731</v>
      </c>
      <c r="AW596" s="12"/>
      <c r="AX596" s="12">
        <v>70</v>
      </c>
      <c r="AY596" s="12">
        <v>548</v>
      </c>
      <c r="AZ596" s="12">
        <v>70</v>
      </c>
      <c r="BA596" s="12" t="s">
        <v>2132</v>
      </c>
      <c r="BB596" s="12" t="s">
        <v>7125</v>
      </c>
      <c r="BC596" s="12" t="s">
        <v>7126</v>
      </c>
      <c r="BD596" s="12"/>
      <c r="BE596" s="12" t="s">
        <v>2291</v>
      </c>
      <c r="BF596" s="12"/>
      <c r="BG596" s="12"/>
      <c r="BH596" s="12"/>
      <c r="BI596" s="12"/>
      <c r="BJ596" s="12" t="s">
        <v>2133</v>
      </c>
      <c r="BK596" s="12"/>
      <c r="BL596" s="12" t="s">
        <v>2292</v>
      </c>
      <c r="BM596" s="12" t="s">
        <v>2292</v>
      </c>
      <c r="BN596" s="12" t="s">
        <v>2292</v>
      </c>
      <c r="BO596" s="12" t="s">
        <v>2291</v>
      </c>
      <c r="BP596" s="12"/>
      <c r="BQ596" s="12"/>
      <c r="BR596" s="12"/>
      <c r="BS596" s="12"/>
      <c r="BT596" s="12" t="s">
        <v>2909</v>
      </c>
      <c r="BU596" s="12" t="s">
        <v>326</v>
      </c>
      <c r="BV596" s="12"/>
      <c r="BW596" s="12" t="s">
        <v>2134</v>
      </c>
      <c r="BX596" s="12"/>
      <c r="BY596" s="13" t="s">
        <v>313</v>
      </c>
      <c r="BZ596" s="13" t="s">
        <v>6170</v>
      </c>
      <c r="CA596" s="13" t="s">
        <v>6170</v>
      </c>
      <c r="CB596" s="13" t="s">
        <v>6200</v>
      </c>
      <c r="CC596" s="13"/>
      <c r="CD596" s="13" t="s">
        <v>6198</v>
      </c>
      <c r="CE596" s="13"/>
      <c r="CF596" s="13"/>
    </row>
    <row r="597" spans="1:84" ht="18.600000000000001" customHeight="1" x14ac:dyDescent="0.25">
      <c r="A597" s="60" t="s">
        <v>219</v>
      </c>
      <c r="B597" s="2" t="s">
        <v>5633</v>
      </c>
      <c r="C597" s="3" t="s">
        <v>5630</v>
      </c>
      <c r="D597" s="12" t="s">
        <v>5654</v>
      </c>
      <c r="E597" s="12" t="s">
        <v>5616</v>
      </c>
      <c r="F597" s="12" t="s">
        <v>5655</v>
      </c>
      <c r="G597" s="25">
        <v>1058164</v>
      </c>
      <c r="H597" s="25">
        <v>719995</v>
      </c>
      <c r="I597" s="25">
        <v>92454</v>
      </c>
      <c r="J597" s="25">
        <v>57889</v>
      </c>
      <c r="K597" s="25">
        <v>5339565</v>
      </c>
      <c r="L597" s="25">
        <v>3608775</v>
      </c>
      <c r="M597" s="25">
        <v>8948340</v>
      </c>
      <c r="N597" s="31">
        <v>0.6</v>
      </c>
      <c r="O597" s="25">
        <v>689651</v>
      </c>
      <c r="P597" s="25">
        <v>582510</v>
      </c>
      <c r="Q597" s="25">
        <v>149488</v>
      </c>
      <c r="R597" s="25">
        <v>4479</v>
      </c>
      <c r="S597" s="25">
        <v>21402</v>
      </c>
      <c r="T597" s="25">
        <v>8890</v>
      </c>
      <c r="U597" s="61">
        <v>3417</v>
      </c>
      <c r="V597" s="58">
        <v>1.8200000000000001E-2</v>
      </c>
      <c r="W597" s="33">
        <v>1.3299999999999999E-2</v>
      </c>
      <c r="X597" s="33">
        <v>8.6999999999999994E-3</v>
      </c>
      <c r="Y597" s="33">
        <v>1.7600000000000001E-2</v>
      </c>
      <c r="Z597" s="33">
        <v>2.8299999999999999E-2</v>
      </c>
      <c r="AA597" s="33">
        <v>5.0000000000000001E-3</v>
      </c>
      <c r="AB597" s="25">
        <v>599</v>
      </c>
      <c r="AC597" s="25">
        <v>342</v>
      </c>
      <c r="AD597" s="25">
        <v>47</v>
      </c>
      <c r="AE597" s="25">
        <v>11</v>
      </c>
      <c r="AF597" s="25">
        <v>146</v>
      </c>
      <c r="AG597" s="25">
        <v>38</v>
      </c>
      <c r="AH597" s="25">
        <v>15</v>
      </c>
      <c r="AI597" s="12">
        <v>1.36</v>
      </c>
      <c r="AJ597" s="25">
        <v>196114</v>
      </c>
      <c r="AK597" s="25">
        <v>148365</v>
      </c>
      <c r="AL597" s="33">
        <v>3.1072000000000002</v>
      </c>
      <c r="AM597" s="3" t="s">
        <v>5630</v>
      </c>
      <c r="AN597" s="12" t="s">
        <v>5616</v>
      </c>
      <c r="AO597" s="12" t="s">
        <v>5616</v>
      </c>
      <c r="AP597" s="12" t="str">
        <f>"45300632440"</f>
        <v>45300632440</v>
      </c>
      <c r="AQ597" s="12" t="s">
        <v>5654</v>
      </c>
      <c r="AR597" s="12" t="s">
        <v>5856</v>
      </c>
      <c r="AS597" s="12" t="s">
        <v>5857</v>
      </c>
      <c r="AT597" s="12"/>
      <c r="AU597" s="12" t="s">
        <v>309</v>
      </c>
      <c r="AV597" s="12"/>
      <c r="AW597" s="12"/>
      <c r="AX597" s="12">
        <v>0</v>
      </c>
      <c r="AY597" s="12">
        <v>9862</v>
      </c>
      <c r="AZ597" s="12">
        <v>0</v>
      </c>
      <c r="BA597" s="12" t="s">
        <v>5858</v>
      </c>
      <c r="BB597" s="12"/>
      <c r="BC597" s="12" t="s">
        <v>6687</v>
      </c>
      <c r="BD597" s="12"/>
      <c r="BE597" s="12" t="s">
        <v>2291</v>
      </c>
      <c r="BF597" s="12"/>
      <c r="BG597" s="12"/>
      <c r="BH597" s="12"/>
      <c r="BI597" s="12"/>
      <c r="BJ597" s="12"/>
      <c r="BK597" s="12"/>
      <c r="BL597" s="12" t="s">
        <v>2292</v>
      </c>
      <c r="BM597" s="12" t="s">
        <v>2292</v>
      </c>
      <c r="BN597" s="12" t="s">
        <v>2292</v>
      </c>
      <c r="BO597" s="12" t="s">
        <v>2291</v>
      </c>
      <c r="BP597" s="12"/>
      <c r="BQ597" s="12"/>
      <c r="BR597" s="12"/>
      <c r="BS597" s="12"/>
      <c r="BT597" s="12"/>
      <c r="BU597" s="12"/>
      <c r="BV597" s="12"/>
      <c r="BW597" s="12"/>
      <c r="BX597" s="12"/>
      <c r="BY597" s="13" t="s">
        <v>313</v>
      </c>
      <c r="BZ597" s="13" t="s">
        <v>6171</v>
      </c>
      <c r="CA597" s="13" t="s">
        <v>6170</v>
      </c>
      <c r="CB597" s="13" t="s">
        <v>6202</v>
      </c>
      <c r="CC597" s="13" t="s">
        <v>6187</v>
      </c>
      <c r="CD597" s="13" t="s">
        <v>6195</v>
      </c>
      <c r="CE597" s="13"/>
      <c r="CF597" s="13"/>
    </row>
    <row r="598" spans="1:84" ht="18.600000000000001" customHeight="1" x14ac:dyDescent="0.25">
      <c r="A598" s="60" t="s">
        <v>219</v>
      </c>
      <c r="B598" s="2" t="s">
        <v>5632</v>
      </c>
      <c r="C598" s="3" t="s">
        <v>5634</v>
      </c>
      <c r="D598" s="12" t="s">
        <v>5679</v>
      </c>
      <c r="E598" s="12" t="s">
        <v>5631</v>
      </c>
      <c r="F598" s="12" t="s">
        <v>5680</v>
      </c>
      <c r="G598" s="25">
        <v>582517</v>
      </c>
      <c r="H598" s="25">
        <v>384151</v>
      </c>
      <c r="I598" s="25">
        <v>75486</v>
      </c>
      <c r="J598" s="25">
        <v>57616</v>
      </c>
      <c r="K598" s="25">
        <v>890616</v>
      </c>
      <c r="L598" s="25">
        <v>652973</v>
      </c>
      <c r="M598" s="25">
        <v>1543589</v>
      </c>
      <c r="N598" s="31">
        <v>0.57999999999999996</v>
      </c>
      <c r="O598" s="25">
        <v>47583</v>
      </c>
      <c r="P598" s="25">
        <v>72969</v>
      </c>
      <c r="Q598" s="25">
        <v>23607</v>
      </c>
      <c r="R598" s="25">
        <v>4497</v>
      </c>
      <c r="S598" s="25">
        <v>6347</v>
      </c>
      <c r="T598" s="25">
        <v>6270</v>
      </c>
      <c r="U598" s="61">
        <v>24353</v>
      </c>
      <c r="V598" s="58">
        <v>1.2200000000000001E-2</v>
      </c>
      <c r="W598" s="33">
        <v>8.8000000000000005E-3</v>
      </c>
      <c r="X598" s="33">
        <v>1.55E-2</v>
      </c>
      <c r="Y598" s="33">
        <v>1.89E-2</v>
      </c>
      <c r="Z598" s="33">
        <v>1.54E-2</v>
      </c>
      <c r="AA598" s="33">
        <v>9.5999999999999992E-3</v>
      </c>
      <c r="AB598" s="25">
        <v>557</v>
      </c>
      <c r="AC598" s="25">
        <v>309</v>
      </c>
      <c r="AD598" s="25">
        <v>48</v>
      </c>
      <c r="AE598" s="25">
        <v>126</v>
      </c>
      <c r="AF598" s="25">
        <v>61</v>
      </c>
      <c r="AG598" s="25">
        <v>7</v>
      </c>
      <c r="AH598" s="25">
        <v>6</v>
      </c>
      <c r="AI598" s="12">
        <v>1.27</v>
      </c>
      <c r="AJ598" s="25">
        <v>98296</v>
      </c>
      <c r="AK598" s="25">
        <v>27429</v>
      </c>
      <c r="AL598" s="33">
        <v>0.38700000000000001</v>
      </c>
      <c r="AM598" s="3" t="s">
        <v>5634</v>
      </c>
      <c r="AN598" s="12" t="s">
        <v>5631</v>
      </c>
      <c r="AO598" s="12" t="s">
        <v>5631</v>
      </c>
      <c r="AP598" s="12" t="str">
        <f>"155656867793782"</f>
        <v>155656867793782</v>
      </c>
      <c r="AQ598" s="12" t="s">
        <v>5679</v>
      </c>
      <c r="AR598" s="12" t="s">
        <v>6066</v>
      </c>
      <c r="AS598" s="12" t="s">
        <v>6067</v>
      </c>
      <c r="AT598" s="12"/>
      <c r="AU598" s="12" t="s">
        <v>309</v>
      </c>
      <c r="AV598" s="12"/>
      <c r="AW598" s="12"/>
      <c r="AX598" s="12">
        <v>0</v>
      </c>
      <c r="AY598" s="12">
        <v>443</v>
      </c>
      <c r="AZ598" s="12">
        <v>0</v>
      </c>
      <c r="BA598" s="12" t="s">
        <v>6068</v>
      </c>
      <c r="BB598" s="12" t="s">
        <v>6069</v>
      </c>
      <c r="BC598" s="12" t="s">
        <v>7392</v>
      </c>
      <c r="BD598" s="12" t="s">
        <v>6070</v>
      </c>
      <c r="BE598" s="12" t="s">
        <v>2291</v>
      </c>
      <c r="BF598" s="12"/>
      <c r="BG598" s="12"/>
      <c r="BH598" s="12"/>
      <c r="BI598" s="12"/>
      <c r="BJ598" s="12"/>
      <c r="BK598" s="12"/>
      <c r="BL598" s="12" t="s">
        <v>2292</v>
      </c>
      <c r="BM598" s="12" t="s">
        <v>2292</v>
      </c>
      <c r="BN598" s="12" t="s">
        <v>2292</v>
      </c>
      <c r="BO598" s="12" t="s">
        <v>2291</v>
      </c>
      <c r="BP598" s="12"/>
      <c r="BQ598" s="12"/>
      <c r="BR598" s="12"/>
      <c r="BS598" s="12"/>
      <c r="BT598" s="12"/>
      <c r="BU598" s="12"/>
      <c r="BV598" s="12"/>
      <c r="BW598" s="12" t="s">
        <v>6071</v>
      </c>
      <c r="BX598" s="12"/>
      <c r="BY598" s="13" t="s">
        <v>313</v>
      </c>
      <c r="BZ598" s="13" t="s">
        <v>6171</v>
      </c>
      <c r="CA598" s="13"/>
      <c r="CB598" s="13"/>
      <c r="CC598" s="13"/>
      <c r="CD598" s="13"/>
      <c r="CE598" s="13"/>
      <c r="CF598" s="13"/>
    </row>
    <row r="599" spans="1:84" ht="18.600000000000001" customHeight="1" x14ac:dyDescent="0.25">
      <c r="A599" s="60" t="s">
        <v>220</v>
      </c>
      <c r="B599" s="2" t="s">
        <v>2139</v>
      </c>
      <c r="C599" s="3" t="s">
        <v>5200</v>
      </c>
      <c r="D599" s="12" t="s">
        <v>2135</v>
      </c>
      <c r="E599" s="12" t="s">
        <v>5144</v>
      </c>
      <c r="F599" s="12" t="s">
        <v>4453</v>
      </c>
      <c r="G599" s="25">
        <v>24912</v>
      </c>
      <c r="H599" s="25">
        <v>15880</v>
      </c>
      <c r="I599" s="25">
        <v>979</v>
      </c>
      <c r="J599" s="25">
        <v>5880</v>
      </c>
      <c r="K599" s="25">
        <v>37991</v>
      </c>
      <c r="L599" s="25">
        <v>75094</v>
      </c>
      <c r="M599" s="25">
        <v>113085</v>
      </c>
      <c r="N599" s="31">
        <v>0.34</v>
      </c>
      <c r="O599" s="25">
        <v>2619</v>
      </c>
      <c r="P599" s="25">
        <v>0</v>
      </c>
      <c r="Q599" s="25">
        <v>1672</v>
      </c>
      <c r="R599" s="25">
        <v>295</v>
      </c>
      <c r="S599" s="25">
        <v>64</v>
      </c>
      <c r="T599" s="25">
        <v>78</v>
      </c>
      <c r="U599" s="61">
        <v>57</v>
      </c>
      <c r="V599" s="58">
        <v>1.17E-2</v>
      </c>
      <c r="W599" s="33">
        <v>1.37E-2</v>
      </c>
      <c r="X599" s="33">
        <v>7.9000000000000008E-3</v>
      </c>
      <c r="Y599" s="33">
        <v>6.4000000000000003E-3</v>
      </c>
      <c r="Z599" s="33">
        <v>1.7399999999999999E-2</v>
      </c>
      <c r="AA599" s="33">
        <v>9.7999999999999997E-3</v>
      </c>
      <c r="AB599" s="25">
        <v>454</v>
      </c>
      <c r="AC599" s="25">
        <v>238</v>
      </c>
      <c r="AD599" s="25">
        <v>143</v>
      </c>
      <c r="AE599" s="25">
        <v>13</v>
      </c>
      <c r="AF599" s="25">
        <v>48</v>
      </c>
      <c r="AG599" s="25">
        <v>6</v>
      </c>
      <c r="AH599" s="25">
        <v>6</v>
      </c>
      <c r="AI599" s="12">
        <v>1.03</v>
      </c>
      <c r="AJ599" s="25">
        <v>5377</v>
      </c>
      <c r="AK599" s="25">
        <v>1674</v>
      </c>
      <c r="AL599" s="33">
        <v>0.4521</v>
      </c>
      <c r="AM599" s="3" t="s">
        <v>5200</v>
      </c>
      <c r="AN599" s="12" t="s">
        <v>5144</v>
      </c>
      <c r="AO599" s="12" t="s">
        <v>5144</v>
      </c>
      <c r="AP599" s="12" t="str">
        <f>"167766706708770"</f>
        <v>167766706708770</v>
      </c>
      <c r="AQ599" s="12" t="s">
        <v>2135</v>
      </c>
      <c r="AR599" s="12" t="s">
        <v>5405</v>
      </c>
      <c r="AS599" s="12" t="s">
        <v>2136</v>
      </c>
      <c r="AT599" s="12"/>
      <c r="AU599" s="12" t="s">
        <v>324</v>
      </c>
      <c r="AV599" s="12" t="s">
        <v>5731</v>
      </c>
      <c r="AW599" s="12">
        <v>1981</v>
      </c>
      <c r="AX599" s="12">
        <v>81</v>
      </c>
      <c r="AY599" s="12">
        <v>277</v>
      </c>
      <c r="AZ599" s="12">
        <v>81</v>
      </c>
      <c r="BA599" s="12" t="s">
        <v>5406</v>
      </c>
      <c r="BB599" s="12" t="s">
        <v>7008</v>
      </c>
      <c r="BC599" s="12" t="s">
        <v>7009</v>
      </c>
      <c r="BD599" s="12"/>
      <c r="BE599" s="12" t="s">
        <v>2291</v>
      </c>
      <c r="BF599" s="12"/>
      <c r="BG599" s="12"/>
      <c r="BH599" s="12"/>
      <c r="BI599" s="12" t="s">
        <v>4701</v>
      </c>
      <c r="BJ599" s="12" t="s">
        <v>2827</v>
      </c>
      <c r="BK599" s="12" t="s">
        <v>6448</v>
      </c>
      <c r="BL599" s="12" t="s">
        <v>2292</v>
      </c>
      <c r="BM599" s="12" t="s">
        <v>2292</v>
      </c>
      <c r="BN599" s="12" t="s">
        <v>2292</v>
      </c>
      <c r="BO599" s="12" t="s">
        <v>2292</v>
      </c>
      <c r="BP599" s="12" t="s">
        <v>2137</v>
      </c>
      <c r="BQ599" s="12"/>
      <c r="BR599" s="12"/>
      <c r="BS599" s="12"/>
      <c r="BT599" s="12" t="s">
        <v>4702</v>
      </c>
      <c r="BU599" s="12" t="s">
        <v>326</v>
      </c>
      <c r="BV599" s="12"/>
      <c r="BW599" s="12" t="s">
        <v>2138</v>
      </c>
      <c r="BX599" s="12"/>
      <c r="BY599" s="13" t="s">
        <v>313</v>
      </c>
      <c r="BZ599" s="13" t="s">
        <v>6170</v>
      </c>
      <c r="CA599" s="13" t="s">
        <v>6170</v>
      </c>
      <c r="CB599" s="13" t="s">
        <v>6197</v>
      </c>
      <c r="CC599" s="13"/>
      <c r="CD599" s="13" t="s">
        <v>6198</v>
      </c>
      <c r="CE599" s="13"/>
      <c r="CF599" s="13"/>
    </row>
    <row r="600" spans="1:84" ht="18.600000000000001" customHeight="1" x14ac:dyDescent="0.25">
      <c r="A600" s="35" t="s">
        <v>221</v>
      </c>
      <c r="B600" s="13" t="s">
        <v>315</v>
      </c>
      <c r="C600" s="3" t="s">
        <v>2552</v>
      </c>
      <c r="D600" s="12" t="s">
        <v>2147</v>
      </c>
      <c r="E600" s="12" t="s">
        <v>2146</v>
      </c>
      <c r="F600" s="12" t="s">
        <v>4090</v>
      </c>
      <c r="G600" s="25">
        <v>0</v>
      </c>
      <c r="H600" s="25">
        <v>0</v>
      </c>
      <c r="I600" s="25">
        <v>0</v>
      </c>
      <c r="J600" s="25">
        <v>0</v>
      </c>
      <c r="K600" s="25">
        <v>0</v>
      </c>
      <c r="L600" s="25">
        <v>0</v>
      </c>
      <c r="M600" s="25">
        <v>0</v>
      </c>
      <c r="N600" s="31">
        <v>0</v>
      </c>
      <c r="O600" s="25">
        <v>0</v>
      </c>
      <c r="P600" s="25">
        <v>0</v>
      </c>
      <c r="Q600" s="25">
        <v>0</v>
      </c>
      <c r="R600" s="25">
        <v>0</v>
      </c>
      <c r="S600" s="25">
        <v>0</v>
      </c>
      <c r="T600" s="25">
        <v>0</v>
      </c>
      <c r="U600" s="61">
        <v>0</v>
      </c>
      <c r="V600" s="59"/>
      <c r="W600" s="12" t="s">
        <v>3926</v>
      </c>
      <c r="X600" s="12" t="s">
        <v>3926</v>
      </c>
      <c r="Y600" s="12" t="s">
        <v>3926</v>
      </c>
      <c r="Z600" s="12" t="s">
        <v>3926</v>
      </c>
      <c r="AA600" s="12" t="s">
        <v>3926</v>
      </c>
      <c r="AB600" s="25" t="s">
        <v>3927</v>
      </c>
      <c r="AC600" s="25">
        <v>0</v>
      </c>
      <c r="AD600" s="25">
        <v>0</v>
      </c>
      <c r="AE600" s="25">
        <v>0</v>
      </c>
      <c r="AF600" s="25">
        <v>0</v>
      </c>
      <c r="AG600" s="25">
        <v>0</v>
      </c>
      <c r="AH600" s="25">
        <v>0</v>
      </c>
      <c r="AI600" s="12">
        <v>0</v>
      </c>
      <c r="AJ600" s="25">
        <v>1966</v>
      </c>
      <c r="AK600" s="25">
        <v>11</v>
      </c>
      <c r="AL600" s="33">
        <v>5.5999999999999999E-3</v>
      </c>
      <c r="AM600" s="3" t="s">
        <v>2552</v>
      </c>
      <c r="AN600" s="12" t="s">
        <v>2146</v>
      </c>
      <c r="AO600" s="12" t="s">
        <v>2146</v>
      </c>
      <c r="AP600" s="12" t="str">
        <f>"381162145310807"</f>
        <v>381162145310807</v>
      </c>
      <c r="AQ600" s="12" t="s">
        <v>2147</v>
      </c>
      <c r="AR600" s="12" t="s">
        <v>2142</v>
      </c>
      <c r="AS600" s="12" t="s">
        <v>2553</v>
      </c>
      <c r="AT600" s="12"/>
      <c r="AU600" s="12" t="s">
        <v>324</v>
      </c>
      <c r="AV600" s="12"/>
      <c r="AW600" s="12"/>
      <c r="AX600" s="12">
        <v>0</v>
      </c>
      <c r="AY600" s="12">
        <v>5</v>
      </c>
      <c r="AZ600" s="12">
        <v>0</v>
      </c>
      <c r="BA600" s="12" t="s">
        <v>2148</v>
      </c>
      <c r="BB600" s="12" t="s">
        <v>5832</v>
      </c>
      <c r="BC600" s="12" t="s">
        <v>6625</v>
      </c>
      <c r="BD600" s="12"/>
      <c r="BE600" s="12" t="s">
        <v>2291</v>
      </c>
      <c r="BF600" s="12"/>
      <c r="BG600" s="12"/>
      <c r="BH600" s="12"/>
      <c r="BI600" s="12" t="s">
        <v>2149</v>
      </c>
      <c r="BJ600" s="12" t="s">
        <v>2554</v>
      </c>
      <c r="BK600" s="12"/>
      <c r="BL600" s="12" t="s">
        <v>2292</v>
      </c>
      <c r="BM600" s="12" t="s">
        <v>2292</v>
      </c>
      <c r="BN600" s="12" t="s">
        <v>2292</v>
      </c>
      <c r="BO600" s="12" t="s">
        <v>2292</v>
      </c>
      <c r="BP600" s="12"/>
      <c r="BQ600" s="12"/>
      <c r="BR600" s="12"/>
      <c r="BS600" s="12"/>
      <c r="BT600" s="12" t="s">
        <v>2555</v>
      </c>
      <c r="BU600" s="12"/>
      <c r="BV600" s="12"/>
      <c r="BW600" s="12" t="s">
        <v>2145</v>
      </c>
      <c r="BX600" s="12"/>
      <c r="BY600" s="2" t="s">
        <v>344</v>
      </c>
      <c r="BZ600" s="13" t="s">
        <v>6172</v>
      </c>
      <c r="CA600" s="13" t="s">
        <v>6170</v>
      </c>
      <c r="CB600" s="13" t="s">
        <v>312</v>
      </c>
      <c r="CC600" s="13"/>
      <c r="CD600" s="13" t="s">
        <v>6198</v>
      </c>
      <c r="CE600" s="13"/>
      <c r="CF600" s="13"/>
    </row>
    <row r="601" spans="1:84" ht="18.600000000000001" customHeight="1" x14ac:dyDescent="0.25">
      <c r="A601" s="60" t="s">
        <v>221</v>
      </c>
      <c r="B601" s="2" t="s">
        <v>315</v>
      </c>
      <c r="C601" s="3" t="s">
        <v>2970</v>
      </c>
      <c r="D601" s="12" t="s">
        <v>2141</v>
      </c>
      <c r="E601" s="12" t="s">
        <v>2140</v>
      </c>
      <c r="F601" s="12" t="s">
        <v>4348</v>
      </c>
      <c r="G601" s="25">
        <v>83325</v>
      </c>
      <c r="H601" s="25">
        <v>62659</v>
      </c>
      <c r="I601" s="25">
        <v>4380</v>
      </c>
      <c r="J601" s="25">
        <v>8359</v>
      </c>
      <c r="K601" s="25">
        <v>7757</v>
      </c>
      <c r="L601" s="25">
        <v>19395</v>
      </c>
      <c r="M601" s="25">
        <v>27152</v>
      </c>
      <c r="N601" s="31">
        <v>0.28999999999999998</v>
      </c>
      <c r="O601" s="25">
        <v>1188</v>
      </c>
      <c r="P601" s="25">
        <v>609</v>
      </c>
      <c r="Q601" s="25">
        <v>6431</v>
      </c>
      <c r="R601" s="25">
        <v>551</v>
      </c>
      <c r="S601" s="25">
        <v>413</v>
      </c>
      <c r="T601" s="25">
        <v>359</v>
      </c>
      <c r="U601" s="61">
        <v>173</v>
      </c>
      <c r="V601" s="58">
        <v>7.3000000000000001E-3</v>
      </c>
      <c r="W601" s="33">
        <v>8.0000000000000002E-3</v>
      </c>
      <c r="X601" s="33">
        <v>1.9E-3</v>
      </c>
      <c r="Y601" s="33">
        <v>2.0999999999999999E-3</v>
      </c>
      <c r="Z601" s="33">
        <v>4.2599999999999999E-2</v>
      </c>
      <c r="AA601" s="12" t="s">
        <v>3926</v>
      </c>
      <c r="AB601" s="25">
        <v>715</v>
      </c>
      <c r="AC601" s="25">
        <v>619</v>
      </c>
      <c r="AD601" s="25">
        <v>40</v>
      </c>
      <c r="AE601" s="25">
        <v>52</v>
      </c>
      <c r="AF601" s="25">
        <v>2</v>
      </c>
      <c r="AG601" s="25">
        <v>2</v>
      </c>
      <c r="AH601" s="25">
        <v>0</v>
      </c>
      <c r="AI601" s="12">
        <v>1.63</v>
      </c>
      <c r="AJ601" s="25">
        <v>19523</v>
      </c>
      <c r="AK601" s="25">
        <v>7499</v>
      </c>
      <c r="AL601" s="33">
        <v>0.62370000000000003</v>
      </c>
      <c r="AM601" s="3" t="s">
        <v>2970</v>
      </c>
      <c r="AN601" s="12" t="s">
        <v>2140</v>
      </c>
      <c r="AO601" s="12" t="s">
        <v>2140</v>
      </c>
      <c r="AP601" s="12" t="str">
        <f>"900088560022167"</f>
        <v>900088560022167</v>
      </c>
      <c r="AQ601" s="12" t="s">
        <v>2141</v>
      </c>
      <c r="AR601" s="12" t="s">
        <v>2142</v>
      </c>
      <c r="AS601" s="12" t="s">
        <v>2143</v>
      </c>
      <c r="AT601" s="12"/>
      <c r="AU601" s="12" t="s">
        <v>324</v>
      </c>
      <c r="AV601" s="12"/>
      <c r="AW601" s="12"/>
      <c r="AX601" s="12">
        <v>0</v>
      </c>
      <c r="AY601" s="12">
        <v>2044</v>
      </c>
      <c r="AZ601" s="12">
        <v>0</v>
      </c>
      <c r="BA601" s="12" t="s">
        <v>2144</v>
      </c>
      <c r="BB601" s="12" t="s">
        <v>6002</v>
      </c>
      <c r="BC601" s="12" t="s">
        <v>7209</v>
      </c>
      <c r="BD601" s="12"/>
      <c r="BE601" s="12" t="s">
        <v>2291</v>
      </c>
      <c r="BF601" s="12"/>
      <c r="BG601" s="12"/>
      <c r="BH601" s="12"/>
      <c r="BI601" s="12" t="s">
        <v>2971</v>
      </c>
      <c r="BJ601" s="12"/>
      <c r="BK601" s="12"/>
      <c r="BL601" s="12" t="s">
        <v>2292</v>
      </c>
      <c r="BM601" s="12" t="s">
        <v>2292</v>
      </c>
      <c r="BN601" s="12" t="s">
        <v>2292</v>
      </c>
      <c r="BO601" s="12" t="s">
        <v>2292</v>
      </c>
      <c r="BP601" s="12"/>
      <c r="BQ601" s="12"/>
      <c r="BR601" s="12"/>
      <c r="BS601" s="12"/>
      <c r="BT601" s="12">
        <v>68524799</v>
      </c>
      <c r="BU601" s="12"/>
      <c r="BV601" s="12"/>
      <c r="BW601" s="12" t="s">
        <v>2145</v>
      </c>
      <c r="BX601" s="12"/>
      <c r="BY601" s="13" t="s">
        <v>313</v>
      </c>
      <c r="BZ601" s="13" t="s">
        <v>6172</v>
      </c>
      <c r="CA601" s="13" t="s">
        <v>6170</v>
      </c>
      <c r="CB601" s="13" t="s">
        <v>6201</v>
      </c>
      <c r="CC601" s="13"/>
      <c r="CD601" s="13" t="s">
        <v>6198</v>
      </c>
      <c r="CE601" s="13"/>
      <c r="CF601" s="13"/>
    </row>
    <row r="602" spans="1:84" ht="18.600000000000001" customHeight="1" x14ac:dyDescent="0.25">
      <c r="A602" s="60" t="s">
        <v>224</v>
      </c>
      <c r="B602" s="2" t="s">
        <v>315</v>
      </c>
      <c r="C602" s="3" t="s">
        <v>2856</v>
      </c>
      <c r="D602" s="12" t="s">
        <v>3302</v>
      </c>
      <c r="E602" s="12" t="s">
        <v>2150</v>
      </c>
      <c r="F602" s="12" t="s">
        <v>4272</v>
      </c>
      <c r="G602" s="25">
        <v>6084</v>
      </c>
      <c r="H602" s="25">
        <v>5059</v>
      </c>
      <c r="I602" s="25">
        <v>92</v>
      </c>
      <c r="J602" s="25">
        <v>763</v>
      </c>
      <c r="K602" s="25">
        <v>74</v>
      </c>
      <c r="L602" s="25">
        <v>6</v>
      </c>
      <c r="M602" s="25">
        <v>80</v>
      </c>
      <c r="N602" s="31">
        <v>0.93</v>
      </c>
      <c r="O602" s="25">
        <v>0</v>
      </c>
      <c r="P602" s="25">
        <v>0</v>
      </c>
      <c r="Q602" s="25">
        <v>93</v>
      </c>
      <c r="R602" s="25">
        <v>23</v>
      </c>
      <c r="S602" s="25">
        <v>33</v>
      </c>
      <c r="T602" s="25">
        <v>14</v>
      </c>
      <c r="U602" s="61">
        <v>7</v>
      </c>
      <c r="V602" s="58">
        <v>7.3000000000000001E-3</v>
      </c>
      <c r="W602" s="33">
        <v>1.0800000000000001E-2</v>
      </c>
      <c r="X602" s="33">
        <v>6.4999999999999997E-3</v>
      </c>
      <c r="Y602" s="33">
        <v>2.8E-3</v>
      </c>
      <c r="Z602" s="33">
        <v>8.0000000000000004E-4</v>
      </c>
      <c r="AA602" s="12" t="s">
        <v>3926</v>
      </c>
      <c r="AB602" s="25">
        <v>234</v>
      </c>
      <c r="AC602" s="25">
        <v>47</v>
      </c>
      <c r="AD602" s="25">
        <v>177</v>
      </c>
      <c r="AE602" s="25">
        <v>8</v>
      </c>
      <c r="AF602" s="25">
        <v>2</v>
      </c>
      <c r="AG602" s="25">
        <v>0</v>
      </c>
      <c r="AH602" s="25">
        <v>0</v>
      </c>
      <c r="AI602" s="12">
        <v>0.53</v>
      </c>
      <c r="AJ602" s="25">
        <v>3837</v>
      </c>
      <c r="AK602" s="25">
        <v>489</v>
      </c>
      <c r="AL602" s="33">
        <v>0.14610000000000001</v>
      </c>
      <c r="AM602" s="3" t="s">
        <v>2856</v>
      </c>
      <c r="AN602" s="12" t="s">
        <v>2150</v>
      </c>
      <c r="AO602" s="12" t="s">
        <v>2150</v>
      </c>
      <c r="AP602" s="12" t="str">
        <f>"988959221132380"</f>
        <v>988959221132380</v>
      </c>
      <c r="AQ602" s="12" t="s">
        <v>3302</v>
      </c>
      <c r="AR602" s="12" t="s">
        <v>2857</v>
      </c>
      <c r="AS602" s="12"/>
      <c r="AT602" s="12"/>
      <c r="AU602" s="12" t="s">
        <v>324</v>
      </c>
      <c r="AV602" s="12" t="s">
        <v>5731</v>
      </c>
      <c r="AW602" s="12" t="s">
        <v>2858</v>
      </c>
      <c r="AX602" s="12">
        <v>92</v>
      </c>
      <c r="AY602" s="12">
        <v>66</v>
      </c>
      <c r="AZ602" s="12">
        <v>92</v>
      </c>
      <c r="BA602" s="12" t="s">
        <v>2151</v>
      </c>
      <c r="BB602" s="12" t="s">
        <v>7048</v>
      </c>
      <c r="BC602" s="12" t="s">
        <v>7049</v>
      </c>
      <c r="BD602" s="12"/>
      <c r="BE602" s="12" t="s">
        <v>2291</v>
      </c>
      <c r="BF602" s="12"/>
      <c r="BG602" s="12"/>
      <c r="BH602" s="12"/>
      <c r="BI602" s="12" t="s">
        <v>2152</v>
      </c>
      <c r="BJ602" s="12"/>
      <c r="BK602" s="12"/>
      <c r="BL602" s="12" t="s">
        <v>2292</v>
      </c>
      <c r="BM602" s="12" t="s">
        <v>2292</v>
      </c>
      <c r="BN602" s="12" t="s">
        <v>2292</v>
      </c>
      <c r="BO602" s="12" t="s">
        <v>2292</v>
      </c>
      <c r="BP602" s="12"/>
      <c r="BQ602" s="12"/>
      <c r="BR602" s="12"/>
      <c r="BS602" s="12"/>
      <c r="BT602" s="12">
        <v>21863</v>
      </c>
      <c r="BU602" s="12" t="s">
        <v>326</v>
      </c>
      <c r="BV602" s="12" t="s">
        <v>2153</v>
      </c>
      <c r="BW602" s="12" t="s">
        <v>2154</v>
      </c>
      <c r="BX602" s="12"/>
      <c r="BY602" s="13" t="s">
        <v>313</v>
      </c>
      <c r="BZ602" s="13" t="s">
        <v>6177</v>
      </c>
      <c r="CA602" s="13" t="s">
        <v>6170</v>
      </c>
      <c r="CB602" s="13" t="s">
        <v>312</v>
      </c>
      <c r="CC602" s="13"/>
      <c r="CD602" s="13" t="s">
        <v>6198</v>
      </c>
      <c r="CE602" s="13"/>
      <c r="CF602" s="13"/>
    </row>
    <row r="603" spans="1:84" ht="18.600000000000001" customHeight="1" x14ac:dyDescent="0.25">
      <c r="A603" s="60" t="s">
        <v>222</v>
      </c>
      <c r="B603" s="2" t="s">
        <v>315</v>
      </c>
      <c r="C603" s="3" t="s">
        <v>5006</v>
      </c>
      <c r="D603" s="12" t="s">
        <v>5162</v>
      </c>
      <c r="E603" s="12" t="s">
        <v>5163</v>
      </c>
      <c r="F603" s="12" t="s">
        <v>5164</v>
      </c>
      <c r="G603" s="25">
        <v>3667</v>
      </c>
      <c r="H603" s="25">
        <v>2486</v>
      </c>
      <c r="I603" s="25">
        <v>79</v>
      </c>
      <c r="J603" s="25">
        <v>922</v>
      </c>
      <c r="K603" s="25">
        <v>0</v>
      </c>
      <c r="L603" s="25">
        <v>0</v>
      </c>
      <c r="M603" s="25">
        <v>0</v>
      </c>
      <c r="N603" s="31">
        <v>0</v>
      </c>
      <c r="O603" s="25">
        <v>0</v>
      </c>
      <c r="P603" s="25">
        <v>0</v>
      </c>
      <c r="Q603" s="25">
        <v>132</v>
      </c>
      <c r="R603" s="25">
        <v>32</v>
      </c>
      <c r="S603" s="25">
        <v>4</v>
      </c>
      <c r="T603" s="25">
        <v>8</v>
      </c>
      <c r="U603" s="61">
        <v>4</v>
      </c>
      <c r="V603" s="58">
        <v>4.4999999999999997E-3</v>
      </c>
      <c r="W603" s="33">
        <v>4.8999999999999998E-3</v>
      </c>
      <c r="X603" s="33">
        <v>4.4000000000000003E-3</v>
      </c>
      <c r="Y603" s="12" t="s">
        <v>3926</v>
      </c>
      <c r="Z603" s="12" t="s">
        <v>3926</v>
      </c>
      <c r="AA603" s="12" t="s">
        <v>3926</v>
      </c>
      <c r="AB603" s="25">
        <v>412</v>
      </c>
      <c r="AC603" s="25">
        <v>23</v>
      </c>
      <c r="AD603" s="25">
        <v>389</v>
      </c>
      <c r="AE603" s="25">
        <v>0</v>
      </c>
      <c r="AF603" s="25">
        <v>0</v>
      </c>
      <c r="AG603" s="25">
        <v>0</v>
      </c>
      <c r="AH603" s="25">
        <v>0</v>
      </c>
      <c r="AI603" s="12">
        <v>0.94</v>
      </c>
      <c r="AJ603" s="25">
        <v>2011</v>
      </c>
      <c r="AK603" s="25">
        <v>0</v>
      </c>
      <c r="AL603" s="31">
        <v>0</v>
      </c>
      <c r="AM603" s="3" t="s">
        <v>5006</v>
      </c>
      <c r="AN603" s="12" t="s">
        <v>5163</v>
      </c>
      <c r="AO603" s="12" t="s">
        <v>5163</v>
      </c>
      <c r="AP603" s="12" t="str">
        <f>"579252962274907"</f>
        <v>579252962274907</v>
      </c>
      <c r="AQ603" s="12" t="s">
        <v>5162</v>
      </c>
      <c r="AR603" s="12" t="s">
        <v>5477</v>
      </c>
      <c r="AS603" s="12"/>
      <c r="AT603" s="12"/>
      <c r="AU603" s="12" t="s">
        <v>324</v>
      </c>
      <c r="AV603" s="12"/>
      <c r="AW603" s="12"/>
      <c r="AX603" s="12">
        <v>0</v>
      </c>
      <c r="AY603" s="12">
        <v>243</v>
      </c>
      <c r="AZ603" s="12">
        <v>0</v>
      </c>
      <c r="BA603" s="12" t="s">
        <v>5478</v>
      </c>
      <c r="BB603" s="12"/>
      <c r="BC603" s="12" t="s">
        <v>7302</v>
      </c>
      <c r="BD603" s="12"/>
      <c r="BE603" s="12" t="s">
        <v>2291</v>
      </c>
      <c r="BF603" s="12"/>
      <c r="BG603" s="12"/>
      <c r="BH603" s="12"/>
      <c r="BI603" s="12"/>
      <c r="BJ603" s="12"/>
      <c r="BK603" s="12" t="s">
        <v>6584</v>
      </c>
      <c r="BL603" s="12" t="s">
        <v>2292</v>
      </c>
      <c r="BM603" s="12" t="s">
        <v>2292</v>
      </c>
      <c r="BN603" s="12" t="s">
        <v>2292</v>
      </c>
      <c r="BO603" s="12" t="s">
        <v>2292</v>
      </c>
      <c r="BP603" s="12"/>
      <c r="BQ603" s="12"/>
      <c r="BR603" s="12"/>
      <c r="BS603" s="12"/>
      <c r="BT603" s="12">
        <v>67628170</v>
      </c>
      <c r="BU603" s="12"/>
      <c r="BV603" s="12"/>
      <c r="BW603" s="12"/>
      <c r="BX603" s="12"/>
      <c r="BY603" s="13" t="s">
        <v>313</v>
      </c>
      <c r="BZ603" s="13" t="s">
        <v>6170</v>
      </c>
      <c r="CA603" s="13" t="s">
        <v>6170</v>
      </c>
      <c r="CB603" s="13" t="s">
        <v>6202</v>
      </c>
      <c r="CC603" s="13" t="s">
        <v>6187</v>
      </c>
      <c r="CD603" s="13" t="s">
        <v>6195</v>
      </c>
      <c r="CE603" s="13"/>
      <c r="CF603" s="13"/>
    </row>
    <row r="604" spans="1:84" ht="18.600000000000001" customHeight="1" x14ac:dyDescent="0.25">
      <c r="A604" s="60" t="s">
        <v>223</v>
      </c>
      <c r="B604" s="2" t="s">
        <v>6096</v>
      </c>
      <c r="C604" s="4" t="s">
        <v>6095</v>
      </c>
      <c r="D604" s="12" t="s">
        <v>6113</v>
      </c>
      <c r="E604" s="12"/>
      <c r="F604" s="12" t="s">
        <v>6165</v>
      </c>
      <c r="G604" s="25">
        <v>1</v>
      </c>
      <c r="H604" s="25">
        <v>0</v>
      </c>
      <c r="I604" s="25">
        <v>1</v>
      </c>
      <c r="J604" s="25">
        <v>0</v>
      </c>
      <c r="K604" s="25">
        <v>0</v>
      </c>
      <c r="L604" s="25">
        <v>0</v>
      </c>
      <c r="M604" s="25">
        <v>0</v>
      </c>
      <c r="N604" s="31">
        <v>0</v>
      </c>
      <c r="O604" s="25">
        <v>0</v>
      </c>
      <c r="P604" s="25">
        <v>0</v>
      </c>
      <c r="Q604" s="25">
        <v>0</v>
      </c>
      <c r="R604" s="25">
        <v>0</v>
      </c>
      <c r="S604" s="25">
        <v>0</v>
      </c>
      <c r="T604" s="25">
        <v>0</v>
      </c>
      <c r="U604" s="61">
        <v>0</v>
      </c>
      <c r="V604" s="58">
        <v>0</v>
      </c>
      <c r="W604" s="33">
        <v>0</v>
      </c>
      <c r="X604" s="12" t="s">
        <v>3926</v>
      </c>
      <c r="Y604" s="12" t="s">
        <v>3926</v>
      </c>
      <c r="Z604" s="12" t="s">
        <v>3926</v>
      </c>
      <c r="AA604" s="12" t="s">
        <v>3926</v>
      </c>
      <c r="AB604" s="25">
        <v>4</v>
      </c>
      <c r="AC604" s="25">
        <v>4</v>
      </c>
      <c r="AD604" s="25">
        <v>0</v>
      </c>
      <c r="AE604" s="25">
        <v>0</v>
      </c>
      <c r="AF604" s="25">
        <v>0</v>
      </c>
      <c r="AG604" s="25">
        <v>0</v>
      </c>
      <c r="AH604" s="25">
        <v>0</v>
      </c>
      <c r="AI604" s="12">
        <v>0.01</v>
      </c>
      <c r="AJ604" s="25">
        <v>4</v>
      </c>
      <c r="AK604" s="25">
        <v>0</v>
      </c>
      <c r="AL604" s="31">
        <v>0</v>
      </c>
      <c r="AM604" s="4" t="s">
        <v>6095</v>
      </c>
      <c r="AN604" s="12" t="s">
        <v>6112</v>
      </c>
      <c r="AO604" s="12"/>
      <c r="AP604" s="12" t="str">
        <f>"1645493972167563"</f>
        <v>1645493972167563</v>
      </c>
      <c r="AQ604" s="12" t="s">
        <v>6113</v>
      </c>
      <c r="AR604" s="12"/>
      <c r="AS604" s="12"/>
      <c r="AT604" s="12"/>
      <c r="AU604" s="12" t="s">
        <v>309</v>
      </c>
      <c r="AV604" s="12"/>
      <c r="AW604" s="12"/>
      <c r="AX604" s="12">
        <v>0</v>
      </c>
      <c r="AY604" s="12">
        <v>0</v>
      </c>
      <c r="AZ604" s="12">
        <v>0</v>
      </c>
      <c r="BA604" s="12" t="s">
        <v>6114</v>
      </c>
      <c r="BB604" s="12"/>
      <c r="BC604" s="12" t="s">
        <v>6421</v>
      </c>
      <c r="BD604" s="12"/>
      <c r="BE604" s="12" t="s">
        <v>2291</v>
      </c>
      <c r="BF604" s="12"/>
      <c r="BG604" s="12"/>
      <c r="BH604" s="12"/>
      <c r="BI604" s="12"/>
      <c r="BJ604" s="12"/>
      <c r="BK604" s="12"/>
      <c r="BL604" s="12" t="s">
        <v>2292</v>
      </c>
      <c r="BM604" s="12" t="s">
        <v>2292</v>
      </c>
      <c r="BN604" s="12" t="s">
        <v>2292</v>
      </c>
      <c r="BO604" s="12" t="s">
        <v>2292</v>
      </c>
      <c r="BP604" s="12"/>
      <c r="BQ604" s="12"/>
      <c r="BR604" s="12"/>
      <c r="BS604" s="12"/>
      <c r="BT604" s="12"/>
      <c r="BU604" s="12"/>
      <c r="BV604" s="12"/>
      <c r="BW604" s="12"/>
      <c r="BX604" s="12"/>
      <c r="BY604" s="13" t="s">
        <v>313</v>
      </c>
      <c r="BZ604" s="13" t="s">
        <v>6170</v>
      </c>
      <c r="CA604" s="13" t="s">
        <v>6170</v>
      </c>
      <c r="CB604" s="13" t="s">
        <v>312</v>
      </c>
      <c r="CC604" s="13"/>
      <c r="CD604" s="13" t="s">
        <v>6198</v>
      </c>
      <c r="CE604" s="13"/>
      <c r="CF604" s="13"/>
    </row>
    <row r="605" spans="1:84" ht="18.600000000000001" customHeight="1" x14ac:dyDescent="0.25">
      <c r="A605" s="60" t="s">
        <v>223</v>
      </c>
      <c r="B605" s="2" t="s">
        <v>315</v>
      </c>
      <c r="C605" s="20" t="s">
        <v>6094</v>
      </c>
      <c r="D605" s="12" t="s">
        <v>6157</v>
      </c>
      <c r="E605" s="12" t="s">
        <v>6156</v>
      </c>
      <c r="F605" s="12" t="s">
        <v>6164</v>
      </c>
      <c r="G605" s="25">
        <v>0</v>
      </c>
      <c r="H605" s="25">
        <v>0</v>
      </c>
      <c r="I605" s="25">
        <v>0</v>
      </c>
      <c r="J605" s="25">
        <v>0</v>
      </c>
      <c r="K605" s="25">
        <v>0</v>
      </c>
      <c r="L605" s="25">
        <v>0</v>
      </c>
      <c r="M605" s="25">
        <v>0</v>
      </c>
      <c r="N605" s="31">
        <v>0</v>
      </c>
      <c r="O605" s="25">
        <v>0</v>
      </c>
      <c r="P605" s="25">
        <v>0</v>
      </c>
      <c r="Q605" s="25">
        <v>0</v>
      </c>
      <c r="R605" s="25">
        <v>0</v>
      </c>
      <c r="S605" s="25">
        <v>0</v>
      </c>
      <c r="T605" s="25">
        <v>0</v>
      </c>
      <c r="U605" s="61">
        <v>0</v>
      </c>
      <c r="V605" s="58">
        <v>0</v>
      </c>
      <c r="W605" s="12" t="s">
        <v>3926</v>
      </c>
      <c r="X605" s="12" t="s">
        <v>3926</v>
      </c>
      <c r="Y605" s="12" t="s">
        <v>3926</v>
      </c>
      <c r="Z605" s="12" t="s">
        <v>3926</v>
      </c>
      <c r="AA605" s="33">
        <v>0</v>
      </c>
      <c r="AB605" s="25">
        <v>1</v>
      </c>
      <c r="AC605" s="25">
        <v>0</v>
      </c>
      <c r="AD605" s="25">
        <v>0</v>
      </c>
      <c r="AE605" s="25">
        <v>0</v>
      </c>
      <c r="AF605" s="25">
        <v>0</v>
      </c>
      <c r="AG605" s="25">
        <v>0</v>
      </c>
      <c r="AH605" s="25">
        <v>1</v>
      </c>
      <c r="AI605" s="12">
        <v>0</v>
      </c>
      <c r="AJ605" s="25">
        <v>23</v>
      </c>
      <c r="AK605" s="25">
        <v>0</v>
      </c>
      <c r="AL605" s="31">
        <v>0</v>
      </c>
      <c r="AM605" s="20" t="s">
        <v>6094</v>
      </c>
      <c r="AN605" s="12" t="s">
        <v>6156</v>
      </c>
      <c r="AO605" s="12" t="s">
        <v>6156</v>
      </c>
      <c r="AP605" s="12" t="str">
        <f>"1538497069791280"</f>
        <v>1538497069791280</v>
      </c>
      <c r="AQ605" s="12" t="s">
        <v>6157</v>
      </c>
      <c r="AR605" s="12" t="s">
        <v>6158</v>
      </c>
      <c r="AS605" s="12" t="s">
        <v>6159</v>
      </c>
      <c r="AT605" s="12"/>
      <c r="AU605" s="12" t="s">
        <v>324</v>
      </c>
      <c r="AV605" s="12"/>
      <c r="AW605" s="12"/>
      <c r="AX605" s="12">
        <v>0</v>
      </c>
      <c r="AY605" s="12">
        <v>0</v>
      </c>
      <c r="AZ605" s="12">
        <v>0</v>
      </c>
      <c r="BA605" s="12" t="s">
        <v>6160</v>
      </c>
      <c r="BB605" s="12"/>
      <c r="BC605" s="12" t="s">
        <v>7373</v>
      </c>
      <c r="BD605" s="12"/>
      <c r="BE605" s="12" t="s">
        <v>2291</v>
      </c>
      <c r="BF605" s="12"/>
      <c r="BG605" s="12"/>
      <c r="BH605" s="12"/>
      <c r="BI605" s="12"/>
      <c r="BJ605" s="12"/>
      <c r="BK605" s="12"/>
      <c r="BL605" s="12" t="s">
        <v>2292</v>
      </c>
      <c r="BM605" s="12" t="s">
        <v>2292</v>
      </c>
      <c r="BN605" s="12" t="s">
        <v>2292</v>
      </c>
      <c r="BO605" s="12" t="s">
        <v>2292</v>
      </c>
      <c r="BP605" s="12"/>
      <c r="BQ605" s="12"/>
      <c r="BR605" s="12"/>
      <c r="BS605" s="12"/>
      <c r="BT605" s="12"/>
      <c r="BU605" s="12"/>
      <c r="BV605" s="12"/>
      <c r="BW605" s="12"/>
      <c r="BX605" s="12"/>
      <c r="BY605" s="13" t="s">
        <v>313</v>
      </c>
      <c r="BZ605" s="13" t="s">
        <v>6170</v>
      </c>
      <c r="CA605" s="13" t="s">
        <v>6170</v>
      </c>
      <c r="CB605" s="13" t="s">
        <v>312</v>
      </c>
      <c r="CC605" s="13"/>
      <c r="CD605" s="13" t="s">
        <v>6198</v>
      </c>
      <c r="CE605" s="13"/>
      <c r="CF605" s="13"/>
    </row>
    <row r="606" spans="1:84" ht="18.600000000000001" customHeight="1" x14ac:dyDescent="0.25">
      <c r="A606" s="60" t="s">
        <v>223</v>
      </c>
      <c r="B606" s="2" t="s">
        <v>6098</v>
      </c>
      <c r="C606" s="20" t="s">
        <v>6097</v>
      </c>
      <c r="D606" s="12" t="s">
        <v>6130</v>
      </c>
      <c r="E606" s="12"/>
      <c r="F606" s="12" t="s">
        <v>6161</v>
      </c>
      <c r="G606" s="25">
        <v>299</v>
      </c>
      <c r="H606" s="25">
        <v>269</v>
      </c>
      <c r="I606" s="25">
        <v>10</v>
      </c>
      <c r="J606" s="25">
        <v>17</v>
      </c>
      <c r="K606" s="25">
        <v>0</v>
      </c>
      <c r="L606" s="25">
        <v>0</v>
      </c>
      <c r="M606" s="25">
        <v>0</v>
      </c>
      <c r="N606" s="31">
        <v>0</v>
      </c>
      <c r="O606" s="25">
        <v>0</v>
      </c>
      <c r="P606" s="25">
        <v>0</v>
      </c>
      <c r="Q606" s="25">
        <v>3</v>
      </c>
      <c r="R606" s="25">
        <v>0</v>
      </c>
      <c r="S606" s="25">
        <v>0</v>
      </c>
      <c r="T606" s="25">
        <v>0</v>
      </c>
      <c r="U606" s="61">
        <v>0</v>
      </c>
      <c r="V606" s="58">
        <v>5.3E-3</v>
      </c>
      <c r="W606" s="33">
        <v>0</v>
      </c>
      <c r="X606" s="33">
        <v>5.7000000000000002E-3</v>
      </c>
      <c r="Y606" s="33">
        <v>0</v>
      </c>
      <c r="Z606" s="12" t="s">
        <v>3926</v>
      </c>
      <c r="AA606" s="12" t="s">
        <v>3926</v>
      </c>
      <c r="AB606" s="25">
        <v>22</v>
      </c>
      <c r="AC606" s="25">
        <v>4</v>
      </c>
      <c r="AD606" s="25">
        <v>14</v>
      </c>
      <c r="AE606" s="25">
        <v>4</v>
      </c>
      <c r="AF606" s="25">
        <v>0</v>
      </c>
      <c r="AG606" s="25">
        <v>0</v>
      </c>
      <c r="AH606" s="25">
        <v>0</v>
      </c>
      <c r="AI606" s="12">
        <v>0.05</v>
      </c>
      <c r="AJ606" s="25">
        <v>2457</v>
      </c>
      <c r="AK606" s="25">
        <v>0</v>
      </c>
      <c r="AL606" s="31">
        <v>0</v>
      </c>
      <c r="AM606" s="20" t="s">
        <v>6097</v>
      </c>
      <c r="AN606" s="12" t="s">
        <v>6129</v>
      </c>
      <c r="AO606" s="12"/>
      <c r="AP606" s="12" t="str">
        <f>"160258983761"</f>
        <v>160258983761</v>
      </c>
      <c r="AQ606" s="12" t="s">
        <v>6130</v>
      </c>
      <c r="AR606" s="12" t="s">
        <v>6131</v>
      </c>
      <c r="AS606" s="12" t="s">
        <v>6132</v>
      </c>
      <c r="AT606" s="12" t="s">
        <v>6133</v>
      </c>
      <c r="AU606" s="12" t="s">
        <v>319</v>
      </c>
      <c r="AV606" s="12"/>
      <c r="AW606" s="12"/>
      <c r="AX606" s="12">
        <v>0</v>
      </c>
      <c r="AY606" s="12">
        <v>6</v>
      </c>
      <c r="AZ606" s="12">
        <v>0</v>
      </c>
      <c r="BA606" s="12" t="s">
        <v>6134</v>
      </c>
      <c r="BB606" s="12" t="s">
        <v>7180</v>
      </c>
      <c r="BC606" s="12"/>
      <c r="BD606" s="12" t="s">
        <v>6135</v>
      </c>
      <c r="BE606" s="12" t="s">
        <v>2291</v>
      </c>
      <c r="BF606" s="12"/>
      <c r="BG606" s="12"/>
      <c r="BH606" s="12"/>
      <c r="BI606" s="12"/>
      <c r="BJ606" s="12"/>
      <c r="BK606" s="12"/>
      <c r="BL606" s="12" t="s">
        <v>2292</v>
      </c>
      <c r="BM606" s="12" t="s">
        <v>2292</v>
      </c>
      <c r="BN606" s="12" t="s">
        <v>2292</v>
      </c>
      <c r="BO606" s="12" t="s">
        <v>2292</v>
      </c>
      <c r="BP606" s="12"/>
      <c r="BQ606" s="12"/>
      <c r="BR606" s="12"/>
      <c r="BS606" s="12" t="s">
        <v>6136</v>
      </c>
      <c r="BT606" s="12"/>
      <c r="BU606" s="12"/>
      <c r="BV606" s="12"/>
      <c r="BW606" s="12" t="s">
        <v>6137</v>
      </c>
      <c r="BX606" s="12"/>
      <c r="BY606" s="13" t="s">
        <v>313</v>
      </c>
      <c r="BZ606" s="13" t="s">
        <v>6170</v>
      </c>
      <c r="CA606" s="13" t="s">
        <v>6170</v>
      </c>
      <c r="CB606" s="13" t="s">
        <v>6200</v>
      </c>
      <c r="CC606" s="13"/>
      <c r="CD606" s="13" t="s">
        <v>6195</v>
      </c>
      <c r="CE606" s="13"/>
      <c r="CF606" s="13"/>
    </row>
    <row r="607" spans="1:84" ht="18.600000000000001" customHeight="1" x14ac:dyDescent="0.25">
      <c r="A607" s="35" t="s">
        <v>225</v>
      </c>
      <c r="B607" s="13" t="s">
        <v>2158</v>
      </c>
      <c r="C607" s="3" t="s">
        <v>2679</v>
      </c>
      <c r="D607" s="12" t="s">
        <v>2155</v>
      </c>
      <c r="E607" s="12" t="s">
        <v>226</v>
      </c>
      <c r="F607" s="12" t="s">
        <v>4166</v>
      </c>
      <c r="G607" s="25">
        <v>33402204</v>
      </c>
      <c r="H607" s="25">
        <v>20835764</v>
      </c>
      <c r="I607" s="25">
        <v>2547887</v>
      </c>
      <c r="J607" s="25">
        <v>5306206</v>
      </c>
      <c r="K607" s="25">
        <v>160652691</v>
      </c>
      <c r="L607" s="25">
        <v>86853641</v>
      </c>
      <c r="M607" s="25">
        <v>247506332</v>
      </c>
      <c r="N607" s="31">
        <v>0.65</v>
      </c>
      <c r="O607" s="25">
        <v>860430</v>
      </c>
      <c r="P607" s="25">
        <v>9078985</v>
      </c>
      <c r="Q607" s="25">
        <v>4064788</v>
      </c>
      <c r="R607" s="25">
        <v>108386</v>
      </c>
      <c r="S607" s="25">
        <v>231384</v>
      </c>
      <c r="T607" s="25">
        <v>114218</v>
      </c>
      <c r="U607" s="61">
        <v>165323</v>
      </c>
      <c r="V607" s="58">
        <v>6.8999999999999999E-3</v>
      </c>
      <c r="W607" s="33">
        <v>7.4000000000000003E-3</v>
      </c>
      <c r="X607" s="33">
        <v>7.1999999999999998E-3</v>
      </c>
      <c r="Y607" s="33">
        <v>7.7999999999999996E-3</v>
      </c>
      <c r="Z607" s="33">
        <v>6.7000000000000002E-3</v>
      </c>
      <c r="AA607" s="12" t="s">
        <v>3926</v>
      </c>
      <c r="AB607" s="25">
        <v>1106</v>
      </c>
      <c r="AC607" s="25">
        <v>464</v>
      </c>
      <c r="AD607" s="25">
        <v>6</v>
      </c>
      <c r="AE607" s="25">
        <v>11</v>
      </c>
      <c r="AF607" s="25">
        <v>618</v>
      </c>
      <c r="AG607" s="25">
        <v>7</v>
      </c>
      <c r="AH607" s="25">
        <v>0</v>
      </c>
      <c r="AI607" s="12">
        <v>2.52</v>
      </c>
      <c r="AJ607" s="25">
        <v>4506265</v>
      </c>
      <c r="AK607" s="25">
        <v>373864</v>
      </c>
      <c r="AL607" s="33">
        <v>9.0499999999999997E-2</v>
      </c>
      <c r="AM607" s="3" t="s">
        <v>2679</v>
      </c>
      <c r="AN607" s="12" t="s">
        <v>226</v>
      </c>
      <c r="AO607" s="12" t="s">
        <v>226</v>
      </c>
      <c r="AP607" s="12" t="str">
        <f>"55432788477"</f>
        <v>55432788477</v>
      </c>
      <c r="AQ607" s="12" t="s">
        <v>2155</v>
      </c>
      <c r="AR607" s="12" t="s">
        <v>2156</v>
      </c>
      <c r="AS607" s="12" t="s">
        <v>4936</v>
      </c>
      <c r="AT607" s="12" t="s">
        <v>2680</v>
      </c>
      <c r="AU607" s="12" t="s">
        <v>309</v>
      </c>
      <c r="AV607" s="12"/>
      <c r="AW607" s="12"/>
      <c r="AX607" s="12">
        <v>0</v>
      </c>
      <c r="AY607" s="12">
        <v>180687</v>
      </c>
      <c r="AZ607" s="12">
        <v>0</v>
      </c>
      <c r="BA607" s="12" t="s">
        <v>2157</v>
      </c>
      <c r="BB607" s="12"/>
      <c r="BC607" s="12" t="s">
        <v>6806</v>
      </c>
      <c r="BD607" s="12"/>
      <c r="BE607" s="12" t="s">
        <v>2291</v>
      </c>
      <c r="BF607" s="12"/>
      <c r="BG607" s="12"/>
      <c r="BH607" s="12"/>
      <c r="BI607" s="12"/>
      <c r="BJ607" s="12"/>
      <c r="BK607" s="12"/>
      <c r="BL607" s="12" t="s">
        <v>2292</v>
      </c>
      <c r="BM607" s="12" t="s">
        <v>2292</v>
      </c>
      <c r="BN607" s="12" t="s">
        <v>2292</v>
      </c>
      <c r="BO607" s="12" t="s">
        <v>2291</v>
      </c>
      <c r="BP607" s="12"/>
      <c r="BQ607" s="12"/>
      <c r="BR607" s="12"/>
      <c r="BS607" s="12"/>
      <c r="BT607" s="12"/>
      <c r="BU607" s="12"/>
      <c r="BV607" s="12"/>
      <c r="BW607" s="12"/>
      <c r="BX607" s="12"/>
      <c r="BY607" s="13" t="s">
        <v>313</v>
      </c>
      <c r="BZ607" s="13" t="s">
        <v>6170</v>
      </c>
      <c r="CA607" s="13" t="s">
        <v>6170</v>
      </c>
      <c r="CB607" s="13" t="s">
        <v>6201</v>
      </c>
      <c r="CC607" s="13"/>
      <c r="CD607" s="13" t="s">
        <v>6198</v>
      </c>
      <c r="CE607" s="13"/>
      <c r="CF607" s="13"/>
    </row>
    <row r="608" spans="1:84" ht="18.600000000000001" customHeight="1" x14ac:dyDescent="0.25">
      <c r="A608" s="60" t="s">
        <v>225</v>
      </c>
      <c r="B608" s="2" t="s">
        <v>315</v>
      </c>
      <c r="C608" s="3" t="s">
        <v>2395</v>
      </c>
      <c r="D608" s="12" t="s">
        <v>2159</v>
      </c>
      <c r="E608" s="12" t="s">
        <v>2160</v>
      </c>
      <c r="F608" s="12" t="s">
        <v>3990</v>
      </c>
      <c r="G608" s="25">
        <v>6809165</v>
      </c>
      <c r="H608" s="25">
        <v>4178831</v>
      </c>
      <c r="I608" s="25">
        <v>408717</v>
      </c>
      <c r="J608" s="25">
        <v>1320022</v>
      </c>
      <c r="K608" s="25">
        <v>37921179</v>
      </c>
      <c r="L608" s="25">
        <v>19031645</v>
      </c>
      <c r="M608" s="25">
        <v>56952824</v>
      </c>
      <c r="N608" s="31">
        <v>0.67</v>
      </c>
      <c r="O608" s="25">
        <v>5705979</v>
      </c>
      <c r="P608" s="25">
        <v>1944797</v>
      </c>
      <c r="Q608" s="25">
        <v>762304</v>
      </c>
      <c r="R608" s="25">
        <v>35270</v>
      </c>
      <c r="S608" s="25">
        <v>31863</v>
      </c>
      <c r="T608" s="25">
        <v>30331</v>
      </c>
      <c r="U608" s="61">
        <v>39474</v>
      </c>
      <c r="V608" s="58">
        <v>3.8999999999999998E-3</v>
      </c>
      <c r="W608" s="33">
        <v>3.5999999999999999E-3</v>
      </c>
      <c r="X608" s="12" t="s">
        <v>3926</v>
      </c>
      <c r="Y608" s="33">
        <v>1.6000000000000001E-3</v>
      </c>
      <c r="Z608" s="33">
        <v>5.1000000000000004E-3</v>
      </c>
      <c r="AA608" s="33">
        <v>2.5999999999999999E-3</v>
      </c>
      <c r="AB608" s="25">
        <v>1166</v>
      </c>
      <c r="AC608" s="25">
        <v>564</v>
      </c>
      <c r="AD608" s="25">
        <v>0</v>
      </c>
      <c r="AE608" s="25">
        <v>1</v>
      </c>
      <c r="AF608" s="25">
        <v>454</v>
      </c>
      <c r="AG608" s="25">
        <v>145</v>
      </c>
      <c r="AH608" s="25">
        <v>2</v>
      </c>
      <c r="AI608" s="12">
        <v>2.66</v>
      </c>
      <c r="AJ608" s="25">
        <v>1629610</v>
      </c>
      <c r="AK608" s="25">
        <v>469080</v>
      </c>
      <c r="AL608" s="33">
        <v>0.4042</v>
      </c>
      <c r="AM608" s="3" t="s">
        <v>2395</v>
      </c>
      <c r="AN608" s="12" t="s">
        <v>2160</v>
      </c>
      <c r="AO608" s="12" t="s">
        <v>2160</v>
      </c>
      <c r="AP608" s="12" t="str">
        <f>"545415852301140"</f>
        <v>545415852301140</v>
      </c>
      <c r="AQ608" s="12" t="s">
        <v>2159</v>
      </c>
      <c r="AR608" s="12" t="s">
        <v>2396</v>
      </c>
      <c r="AS608" s="12" t="s">
        <v>2397</v>
      </c>
      <c r="AT608" s="12"/>
      <c r="AU608" s="12" t="s">
        <v>324</v>
      </c>
      <c r="AV608" s="12" t="s">
        <v>5731</v>
      </c>
      <c r="AW608" s="12"/>
      <c r="AX608" s="12">
        <v>114885</v>
      </c>
      <c r="AY608" s="12">
        <v>47233</v>
      </c>
      <c r="AZ608" s="12">
        <v>0</v>
      </c>
      <c r="BA608" s="12" t="s">
        <v>2161</v>
      </c>
      <c r="BB608" s="12" t="s">
        <v>6415</v>
      </c>
      <c r="BC608" s="12" t="s">
        <v>6416</v>
      </c>
      <c r="BD608" s="12"/>
      <c r="BE608" s="12" t="s">
        <v>2291</v>
      </c>
      <c r="BF608" s="12"/>
      <c r="BG608" s="12"/>
      <c r="BH608" s="12"/>
      <c r="BI608" s="12" t="s">
        <v>2398</v>
      </c>
      <c r="BJ608" s="12"/>
      <c r="BK608" s="12"/>
      <c r="BL608" s="12" t="s">
        <v>2292</v>
      </c>
      <c r="BM608" s="12" t="s">
        <v>2292</v>
      </c>
      <c r="BN608" s="12" t="s">
        <v>2292</v>
      </c>
      <c r="BO608" s="12" t="s">
        <v>2291</v>
      </c>
      <c r="BP608" s="12" t="s">
        <v>4522</v>
      </c>
      <c r="BQ608" s="12"/>
      <c r="BR608" s="12"/>
      <c r="BS608" s="12"/>
      <c r="BT608" s="12"/>
      <c r="BU608" s="12" t="s">
        <v>326</v>
      </c>
      <c r="BV608" s="12"/>
      <c r="BW608" s="12" t="s">
        <v>2399</v>
      </c>
      <c r="BX608" s="12"/>
      <c r="BY608" s="13" t="s">
        <v>313</v>
      </c>
      <c r="BZ608" s="13" t="s">
        <v>6170</v>
      </c>
      <c r="CA608" s="13" t="s">
        <v>6170</v>
      </c>
      <c r="CB608" s="13" t="s">
        <v>6199</v>
      </c>
      <c r="CC608" s="13" t="s">
        <v>6187</v>
      </c>
      <c r="CD608" s="13" t="s">
        <v>6196</v>
      </c>
      <c r="CE608" s="13"/>
      <c r="CF608" s="13"/>
    </row>
    <row r="609" spans="1:84" ht="18.600000000000001" customHeight="1" x14ac:dyDescent="0.25">
      <c r="A609" s="60" t="s">
        <v>225</v>
      </c>
      <c r="B609" s="2" t="s">
        <v>4985</v>
      </c>
      <c r="C609" s="3" t="s">
        <v>4986</v>
      </c>
      <c r="D609" s="12" t="s">
        <v>4988</v>
      </c>
      <c r="E609" s="12" t="s">
        <v>4987</v>
      </c>
      <c r="F609" s="3" t="s">
        <v>5111</v>
      </c>
      <c r="G609" s="25">
        <v>8521</v>
      </c>
      <c r="H609" s="25">
        <v>6223</v>
      </c>
      <c r="I609" s="25">
        <v>311</v>
      </c>
      <c r="J609" s="25">
        <v>1406</v>
      </c>
      <c r="K609" s="25">
        <v>18481</v>
      </c>
      <c r="L609" s="25">
        <v>33236</v>
      </c>
      <c r="M609" s="25">
        <v>51717</v>
      </c>
      <c r="N609" s="31">
        <v>0.36</v>
      </c>
      <c r="O609" s="25">
        <v>470</v>
      </c>
      <c r="P609" s="25">
        <v>0</v>
      </c>
      <c r="Q609" s="25">
        <v>566</v>
      </c>
      <c r="R609" s="25">
        <v>1</v>
      </c>
      <c r="S609" s="25">
        <v>6</v>
      </c>
      <c r="T609" s="25">
        <v>5</v>
      </c>
      <c r="U609" s="61">
        <v>3</v>
      </c>
      <c r="V609" s="58">
        <v>6.4600000000000005E-2</v>
      </c>
      <c r="W609" s="33">
        <v>6.6400000000000001E-2</v>
      </c>
      <c r="X609" s="33">
        <v>1.2200000000000001E-2</v>
      </c>
      <c r="Y609" s="33">
        <v>2.9399999999999999E-2</v>
      </c>
      <c r="Z609" s="33">
        <v>7.3700000000000002E-2</v>
      </c>
      <c r="AA609" s="33">
        <v>0.1353</v>
      </c>
      <c r="AB609" s="25">
        <v>99</v>
      </c>
      <c r="AC609" s="25">
        <v>53</v>
      </c>
      <c r="AD609" s="25">
        <v>1</v>
      </c>
      <c r="AE609" s="25">
        <v>1</v>
      </c>
      <c r="AF609" s="25">
        <v>40</v>
      </c>
      <c r="AG609" s="25">
        <v>3</v>
      </c>
      <c r="AH609" s="25">
        <v>1</v>
      </c>
      <c r="AI609" s="12">
        <v>0.23</v>
      </c>
      <c r="AJ609" s="25">
        <v>1787</v>
      </c>
      <c r="AK609" s="25">
        <v>0</v>
      </c>
      <c r="AL609" s="31">
        <v>0</v>
      </c>
      <c r="AM609" s="3" t="s">
        <v>4986</v>
      </c>
      <c r="AN609" s="12" t="s">
        <v>4987</v>
      </c>
      <c r="AO609" s="12" t="s">
        <v>4987</v>
      </c>
      <c r="AP609" s="12" t="str">
        <f>"1439930922734351"</f>
        <v>1439930922734351</v>
      </c>
      <c r="AQ609" s="12" t="s">
        <v>4988</v>
      </c>
      <c r="AR609" s="12"/>
      <c r="AS609" s="12"/>
      <c r="AT609" s="12"/>
      <c r="AU609" s="12" t="s">
        <v>424</v>
      </c>
      <c r="AV609" s="12"/>
      <c r="AW609" s="12"/>
      <c r="AX609" s="12">
        <v>0</v>
      </c>
      <c r="AY609" s="12">
        <v>287</v>
      </c>
      <c r="AZ609" s="12">
        <v>0</v>
      </c>
      <c r="BA609" s="12" t="s">
        <v>5322</v>
      </c>
      <c r="BB609" s="12"/>
      <c r="BC609" s="12" t="s">
        <v>6708</v>
      </c>
      <c r="BD609" s="12"/>
      <c r="BE609" s="12" t="s">
        <v>2291</v>
      </c>
      <c r="BF609" s="12"/>
      <c r="BG609" s="12"/>
      <c r="BH609" s="12"/>
      <c r="BI609" s="12" t="s">
        <v>5323</v>
      </c>
      <c r="BJ609" s="12"/>
      <c r="BK609" s="12"/>
      <c r="BL609" s="12" t="s">
        <v>2292</v>
      </c>
      <c r="BM609" s="12" t="s">
        <v>2292</v>
      </c>
      <c r="BN609" s="12" t="s">
        <v>2292</v>
      </c>
      <c r="BO609" s="12" t="s">
        <v>2291</v>
      </c>
      <c r="BP609" s="12"/>
      <c r="BQ609" s="12"/>
      <c r="BR609" s="12"/>
      <c r="BS609" s="12"/>
      <c r="BT609" s="12"/>
      <c r="BU609" s="12"/>
      <c r="BV609" s="12"/>
      <c r="BW609" s="12"/>
      <c r="BX609" s="12"/>
      <c r="BY609" s="13" t="s">
        <v>313</v>
      </c>
      <c r="BZ609" s="13" t="s">
        <v>312</v>
      </c>
      <c r="CA609" s="13"/>
      <c r="CB609" s="13"/>
      <c r="CC609" s="13"/>
      <c r="CD609" s="13"/>
      <c r="CE609" s="13"/>
      <c r="CF609" s="13"/>
    </row>
    <row r="610" spans="1:84" ht="18.600000000000001" customHeight="1" x14ac:dyDescent="0.25">
      <c r="A610" s="60" t="s">
        <v>225</v>
      </c>
      <c r="B610" s="2" t="s">
        <v>335</v>
      </c>
      <c r="C610" s="3" t="s">
        <v>3859</v>
      </c>
      <c r="D610" s="12" t="s">
        <v>2162</v>
      </c>
      <c r="E610" s="12" t="s">
        <v>3166</v>
      </c>
      <c r="F610" s="12" t="s">
        <v>3980</v>
      </c>
      <c r="G610" s="25">
        <v>120271</v>
      </c>
      <c r="H610" s="25">
        <v>73108</v>
      </c>
      <c r="I610" s="25">
        <v>5515</v>
      </c>
      <c r="J610" s="25">
        <v>31456</v>
      </c>
      <c r="K610" s="25">
        <v>509385</v>
      </c>
      <c r="L610" s="25">
        <v>389308</v>
      </c>
      <c r="M610" s="25">
        <v>898693</v>
      </c>
      <c r="N610" s="31">
        <v>0.56999999999999995</v>
      </c>
      <c r="O610" s="25">
        <v>64710</v>
      </c>
      <c r="P610" s="25">
        <v>0</v>
      </c>
      <c r="Q610" s="25">
        <v>8718</v>
      </c>
      <c r="R610" s="25">
        <v>502</v>
      </c>
      <c r="S610" s="25">
        <v>169</v>
      </c>
      <c r="T610" s="25">
        <v>441</v>
      </c>
      <c r="U610" s="61">
        <v>353</v>
      </c>
      <c r="V610" s="58">
        <v>5.4999999999999997E-3</v>
      </c>
      <c r="W610" s="33">
        <v>4.7000000000000002E-3</v>
      </c>
      <c r="X610" s="33">
        <v>4.1999999999999997E-3</v>
      </c>
      <c r="Y610" s="33">
        <v>9.4999999999999998E-3</v>
      </c>
      <c r="Z610" s="33">
        <v>7.3000000000000001E-3</v>
      </c>
      <c r="AA610" s="33">
        <v>6.4999999999999997E-3</v>
      </c>
      <c r="AB610" s="25">
        <v>570</v>
      </c>
      <c r="AC610" s="25">
        <v>304</v>
      </c>
      <c r="AD610" s="25">
        <v>25</v>
      </c>
      <c r="AE610" s="25">
        <v>5</v>
      </c>
      <c r="AF610" s="25">
        <v>197</v>
      </c>
      <c r="AG610" s="25">
        <v>38</v>
      </c>
      <c r="AH610" s="25">
        <v>1</v>
      </c>
      <c r="AI610" s="12">
        <v>1.3</v>
      </c>
      <c r="AJ610" s="25">
        <v>53102</v>
      </c>
      <c r="AK610" s="25">
        <v>32371</v>
      </c>
      <c r="AL610" s="33">
        <v>1.5615000000000001</v>
      </c>
      <c r="AM610" s="3" t="s">
        <v>3859</v>
      </c>
      <c r="AN610" s="12" t="s">
        <v>3166</v>
      </c>
      <c r="AO610" s="12" t="s">
        <v>3166</v>
      </c>
      <c r="AP610" s="12" t="str">
        <f>"1063553617040366"</f>
        <v>1063553617040366</v>
      </c>
      <c r="AQ610" s="12" t="s">
        <v>2162</v>
      </c>
      <c r="AR610" s="12" t="s">
        <v>2163</v>
      </c>
      <c r="AS610" s="12" t="s">
        <v>4515</v>
      </c>
      <c r="AT610" s="12"/>
      <c r="AU610" s="12" t="s">
        <v>5375</v>
      </c>
      <c r="AV610" s="12" t="s">
        <v>5768</v>
      </c>
      <c r="AW610" s="12"/>
      <c r="AX610" s="12">
        <v>4680</v>
      </c>
      <c r="AY610" s="12">
        <v>2967</v>
      </c>
      <c r="AZ610" s="12">
        <v>0</v>
      </c>
      <c r="BA610" s="12" t="s">
        <v>4516</v>
      </c>
      <c r="BB610" s="12" t="s">
        <v>6383</v>
      </c>
      <c r="BC610" s="12" t="s">
        <v>6384</v>
      </c>
      <c r="BD610" s="12"/>
      <c r="BE610" s="12" t="s">
        <v>2291</v>
      </c>
      <c r="BF610" s="12"/>
      <c r="BG610" s="12"/>
      <c r="BH610" s="12"/>
      <c r="BI610" s="12" t="s">
        <v>4517</v>
      </c>
      <c r="BJ610" s="12"/>
      <c r="BK610" s="12"/>
      <c r="BL610" s="12" t="s">
        <v>2292</v>
      </c>
      <c r="BM610" s="12" t="s">
        <v>2292</v>
      </c>
      <c r="BN610" s="12" t="s">
        <v>2292</v>
      </c>
      <c r="BO610" s="12" t="s">
        <v>2291</v>
      </c>
      <c r="BP610" s="12" t="s">
        <v>4518</v>
      </c>
      <c r="BQ610" s="12"/>
      <c r="BR610" s="12"/>
      <c r="BS610" s="12"/>
      <c r="BT610" s="12" t="s">
        <v>4519</v>
      </c>
      <c r="BU610" s="12" t="s">
        <v>326</v>
      </c>
      <c r="BV610" s="12"/>
      <c r="BW610" s="12" t="s">
        <v>2164</v>
      </c>
      <c r="BX610" s="12"/>
      <c r="BY610" s="13" t="s">
        <v>313</v>
      </c>
      <c r="BZ610" s="13" t="s">
        <v>6181</v>
      </c>
      <c r="CA610" s="13"/>
      <c r="CB610" s="13"/>
      <c r="CC610" s="13"/>
      <c r="CD610" s="13"/>
      <c r="CE610" s="13"/>
      <c r="CF610" s="13"/>
    </row>
    <row r="611" spans="1:84" ht="18.600000000000001" customHeight="1" x14ac:dyDescent="0.25">
      <c r="A611" s="60" t="s">
        <v>227</v>
      </c>
      <c r="B611" s="2" t="s">
        <v>3845</v>
      </c>
      <c r="C611" s="3" t="s">
        <v>6218</v>
      </c>
      <c r="D611" s="12" t="s">
        <v>3189</v>
      </c>
      <c r="E611" s="12"/>
      <c r="F611" s="12" t="s">
        <v>7419</v>
      </c>
      <c r="G611" s="25">
        <v>64549</v>
      </c>
      <c r="H611" s="25">
        <v>36829</v>
      </c>
      <c r="I611" s="25">
        <v>8535</v>
      </c>
      <c r="J611" s="25">
        <v>10931</v>
      </c>
      <c r="K611" s="25">
        <v>2052</v>
      </c>
      <c r="L611" s="25">
        <v>608</v>
      </c>
      <c r="M611" s="25">
        <v>2660</v>
      </c>
      <c r="N611" s="31">
        <v>0.77</v>
      </c>
      <c r="O611" s="25">
        <v>205</v>
      </c>
      <c r="P611" s="25">
        <v>0</v>
      </c>
      <c r="Q611" s="25">
        <v>3661</v>
      </c>
      <c r="R611" s="25">
        <v>577</v>
      </c>
      <c r="S611" s="25">
        <v>2548</v>
      </c>
      <c r="T611" s="25">
        <v>458</v>
      </c>
      <c r="U611" s="61">
        <v>1008</v>
      </c>
      <c r="V611" s="58">
        <v>6.8999999999999999E-3</v>
      </c>
      <c r="W611" s="33">
        <v>0</v>
      </c>
      <c r="X611" s="33">
        <v>0</v>
      </c>
      <c r="Y611" s="33">
        <v>0</v>
      </c>
      <c r="Z611" s="33">
        <v>7.1000000000000004E-3</v>
      </c>
      <c r="AA611" s="33">
        <v>5.9999999999999995E-4</v>
      </c>
      <c r="AB611" s="25">
        <v>325</v>
      </c>
      <c r="AC611" s="25">
        <v>249</v>
      </c>
      <c r="AD611" s="25">
        <v>1</v>
      </c>
      <c r="AE611" s="25">
        <v>71</v>
      </c>
      <c r="AF611" s="25">
        <v>1</v>
      </c>
      <c r="AG611" s="25">
        <v>2</v>
      </c>
      <c r="AH611" s="25">
        <v>1</v>
      </c>
      <c r="AI611" s="12">
        <v>0.74</v>
      </c>
      <c r="AJ611" s="25">
        <v>28680</v>
      </c>
      <c r="AK611" s="25">
        <v>0</v>
      </c>
      <c r="AL611" s="31">
        <v>0</v>
      </c>
      <c r="AM611" s="3" t="s">
        <v>6218</v>
      </c>
      <c r="AN611" s="12" t="s">
        <v>6534</v>
      </c>
      <c r="AO611" s="12"/>
      <c r="AP611" s="12" t="str">
        <f>"145070396007399"</f>
        <v>145070396007399</v>
      </c>
      <c r="AQ611" s="12" t="s">
        <v>3189</v>
      </c>
      <c r="AR611" s="12" t="s">
        <v>6535</v>
      </c>
      <c r="AS611" s="12" t="s">
        <v>6536</v>
      </c>
      <c r="AT611" s="12"/>
      <c r="AU611" s="12" t="s">
        <v>309</v>
      </c>
      <c r="AV611" s="12"/>
      <c r="AW611" s="12"/>
      <c r="AX611" s="12">
        <v>0</v>
      </c>
      <c r="AY611" s="12">
        <v>397</v>
      </c>
      <c r="AZ611" s="12">
        <v>0</v>
      </c>
      <c r="BA611" s="12" t="s">
        <v>6537</v>
      </c>
      <c r="BB611" s="12"/>
      <c r="BC611" s="12" t="s">
        <v>6538</v>
      </c>
      <c r="BD611" s="12"/>
      <c r="BE611" s="12" t="s">
        <v>2291</v>
      </c>
      <c r="BF611" s="12"/>
      <c r="BG611" s="12"/>
      <c r="BH611" s="12"/>
      <c r="BI611" s="12"/>
      <c r="BJ611" s="12"/>
      <c r="BK611" s="12"/>
      <c r="BL611" s="12" t="s">
        <v>2292</v>
      </c>
      <c r="BM611" s="12" t="s">
        <v>2292</v>
      </c>
      <c r="BN611" s="12" t="s">
        <v>2292</v>
      </c>
      <c r="BO611" s="12" t="s">
        <v>2292</v>
      </c>
      <c r="BP611" s="12"/>
      <c r="BQ611" s="12"/>
      <c r="BR611" s="12"/>
      <c r="BS611" s="12"/>
      <c r="BT611" s="12"/>
      <c r="BU611" s="12"/>
      <c r="BV611" s="12"/>
      <c r="BW611" s="12"/>
      <c r="BX611" s="12"/>
      <c r="BY611" s="13"/>
      <c r="BZ611" s="13" t="s">
        <v>312</v>
      </c>
      <c r="CA611" s="13"/>
      <c r="CB611" s="13"/>
      <c r="CC611" s="13"/>
      <c r="CD611" s="13"/>
      <c r="CE611" s="13"/>
      <c r="CF611" s="13"/>
    </row>
    <row r="612" spans="1:84" ht="18.600000000000001" customHeight="1" x14ac:dyDescent="0.25">
      <c r="A612" s="60" t="s">
        <v>227</v>
      </c>
      <c r="B612" s="2" t="s">
        <v>314</v>
      </c>
      <c r="C612" s="10" t="s">
        <v>3717</v>
      </c>
      <c r="D612" s="12" t="s">
        <v>3793</v>
      </c>
      <c r="E612" s="12" t="s">
        <v>3716</v>
      </c>
      <c r="F612" s="12" t="s">
        <v>4201</v>
      </c>
      <c r="G612" s="25">
        <v>8944</v>
      </c>
      <c r="H612" s="25">
        <v>4643</v>
      </c>
      <c r="I612" s="25">
        <v>258</v>
      </c>
      <c r="J612" s="25">
        <v>3791</v>
      </c>
      <c r="K612" s="25">
        <v>2228</v>
      </c>
      <c r="L612" s="25">
        <v>2309</v>
      </c>
      <c r="M612" s="25">
        <v>4537</v>
      </c>
      <c r="N612" s="31">
        <v>0.49</v>
      </c>
      <c r="O612" s="25">
        <v>289</v>
      </c>
      <c r="P612" s="25">
        <v>176</v>
      </c>
      <c r="Q612" s="25">
        <v>155</v>
      </c>
      <c r="R612" s="25">
        <v>30</v>
      </c>
      <c r="S612" s="25">
        <v>36</v>
      </c>
      <c r="T612" s="25">
        <v>9</v>
      </c>
      <c r="U612" s="61">
        <v>22</v>
      </c>
      <c r="V612" s="58">
        <v>3.7000000000000002E-3</v>
      </c>
      <c r="W612" s="33">
        <v>3.7000000000000002E-3</v>
      </c>
      <c r="X612" s="33">
        <v>2.3999999999999998E-3</v>
      </c>
      <c r="Y612" s="33">
        <v>2E-3</v>
      </c>
      <c r="Z612" s="33">
        <v>3.0999999999999999E-3</v>
      </c>
      <c r="AA612" s="33">
        <v>8.9999999999999998E-4</v>
      </c>
      <c r="AB612" s="25">
        <v>743</v>
      </c>
      <c r="AC612" s="25">
        <v>551</v>
      </c>
      <c r="AD612" s="25">
        <v>123</v>
      </c>
      <c r="AE612" s="25">
        <v>19</v>
      </c>
      <c r="AF612" s="25">
        <v>30</v>
      </c>
      <c r="AG612" s="25">
        <v>6</v>
      </c>
      <c r="AH612" s="25">
        <v>14</v>
      </c>
      <c r="AI612" s="12">
        <v>1.69</v>
      </c>
      <c r="AJ612" s="25">
        <v>6282</v>
      </c>
      <c r="AK612" s="25">
        <v>4604</v>
      </c>
      <c r="AL612" s="33">
        <v>2.7437</v>
      </c>
      <c r="AM612" s="10" t="s">
        <v>3717</v>
      </c>
      <c r="AN612" s="12" t="s">
        <v>3716</v>
      </c>
      <c r="AO612" s="12" t="s">
        <v>3716</v>
      </c>
      <c r="AP612" s="12" t="str">
        <f>"221347191575450"</f>
        <v>221347191575450</v>
      </c>
      <c r="AQ612" s="12" t="s">
        <v>3793</v>
      </c>
      <c r="AR612" s="12"/>
      <c r="AS612" s="12"/>
      <c r="AT612" s="12"/>
      <c r="AU612" s="12" t="s">
        <v>324</v>
      </c>
      <c r="AV612" s="12" t="s">
        <v>5798</v>
      </c>
      <c r="AW612" s="12"/>
      <c r="AX612" s="12">
        <v>93</v>
      </c>
      <c r="AY612" s="12">
        <v>223</v>
      </c>
      <c r="AZ612" s="12">
        <v>93</v>
      </c>
      <c r="BA612" s="12" t="s">
        <v>3794</v>
      </c>
      <c r="BB612" s="12" t="s">
        <v>6907</v>
      </c>
      <c r="BC612" s="12" t="s">
        <v>6908</v>
      </c>
      <c r="BD612" s="12"/>
      <c r="BE612" s="12" t="s">
        <v>2291</v>
      </c>
      <c r="BF612" s="12"/>
      <c r="BG612" s="12"/>
      <c r="BH612" s="12"/>
      <c r="BI612" s="12"/>
      <c r="BJ612" s="12"/>
      <c r="BK612" s="12"/>
      <c r="BL612" s="12" t="s">
        <v>2292</v>
      </c>
      <c r="BM612" s="12" t="s">
        <v>2292</v>
      </c>
      <c r="BN612" s="12" t="s">
        <v>2292</v>
      </c>
      <c r="BO612" s="12" t="s">
        <v>2292</v>
      </c>
      <c r="BP612" s="12"/>
      <c r="BQ612" s="12"/>
      <c r="BR612" s="12"/>
      <c r="BS612" s="12"/>
      <c r="BT612" s="12"/>
      <c r="BU612" s="12" t="s">
        <v>326</v>
      </c>
      <c r="BV612" s="12"/>
      <c r="BW612" s="12" t="s">
        <v>3795</v>
      </c>
      <c r="BX612" s="12"/>
      <c r="BY612" s="13" t="s">
        <v>313</v>
      </c>
      <c r="BZ612" s="13" t="s">
        <v>6170</v>
      </c>
      <c r="CA612" s="13" t="s">
        <v>6170</v>
      </c>
      <c r="CB612" s="13" t="s">
        <v>312</v>
      </c>
      <c r="CC612" s="13"/>
      <c r="CD612" s="13" t="s">
        <v>6198</v>
      </c>
      <c r="CE612" s="13"/>
      <c r="CF612" s="13"/>
    </row>
    <row r="613" spans="1:84" ht="18.600000000000001" customHeight="1" x14ac:dyDescent="0.25">
      <c r="A613" s="60" t="s">
        <v>227</v>
      </c>
      <c r="B613" s="2" t="s">
        <v>314</v>
      </c>
      <c r="C613" s="3" t="s">
        <v>3168</v>
      </c>
      <c r="D613" s="12" t="s">
        <v>3182</v>
      </c>
      <c r="E613" s="12" t="s">
        <v>241</v>
      </c>
      <c r="F613" s="12" t="s">
        <v>4280</v>
      </c>
      <c r="G613" s="25">
        <v>0</v>
      </c>
      <c r="H613" s="25">
        <v>0</v>
      </c>
      <c r="I613" s="25">
        <v>0</v>
      </c>
      <c r="J613" s="25">
        <v>0</v>
      </c>
      <c r="K613" s="25">
        <v>0</v>
      </c>
      <c r="L613" s="25">
        <v>0</v>
      </c>
      <c r="M613" s="25">
        <v>0</v>
      </c>
      <c r="N613" s="31">
        <v>0</v>
      </c>
      <c r="O613" s="25">
        <v>0</v>
      </c>
      <c r="P613" s="25">
        <v>0</v>
      </c>
      <c r="Q613" s="25">
        <v>0</v>
      </c>
      <c r="R613" s="25">
        <v>0</v>
      </c>
      <c r="S613" s="25">
        <v>0</v>
      </c>
      <c r="T613" s="25">
        <v>0</v>
      </c>
      <c r="U613" s="61">
        <v>0</v>
      </c>
      <c r="V613" s="59"/>
      <c r="W613" s="12" t="s">
        <v>3926</v>
      </c>
      <c r="X613" s="12" t="s">
        <v>3926</v>
      </c>
      <c r="Y613" s="12" t="s">
        <v>3926</v>
      </c>
      <c r="Z613" s="12" t="s">
        <v>3926</v>
      </c>
      <c r="AA613" s="12" t="s">
        <v>3926</v>
      </c>
      <c r="AB613" s="25" t="s">
        <v>3927</v>
      </c>
      <c r="AC613" s="25">
        <v>0</v>
      </c>
      <c r="AD613" s="25">
        <v>0</v>
      </c>
      <c r="AE613" s="25">
        <v>0</v>
      </c>
      <c r="AF613" s="25">
        <v>0</v>
      </c>
      <c r="AG613" s="25">
        <v>0</v>
      </c>
      <c r="AH613" s="25">
        <v>0</v>
      </c>
      <c r="AI613" s="12">
        <v>0</v>
      </c>
      <c r="AJ613" s="25">
        <v>1284</v>
      </c>
      <c r="AK613" s="25">
        <v>97</v>
      </c>
      <c r="AL613" s="33">
        <v>8.1699999999999995E-2</v>
      </c>
      <c r="AM613" s="3" t="s">
        <v>3168</v>
      </c>
      <c r="AN613" s="12" t="s">
        <v>241</v>
      </c>
      <c r="AO613" s="12" t="s">
        <v>241</v>
      </c>
      <c r="AP613" s="12" t="str">
        <f>"163676017303248"</f>
        <v>163676017303248</v>
      </c>
      <c r="AQ613" s="12" t="s">
        <v>3182</v>
      </c>
      <c r="AR613" s="12"/>
      <c r="AS613" s="12"/>
      <c r="AT613" s="12"/>
      <c r="AU613" s="12" t="s">
        <v>4561</v>
      </c>
      <c r="AV613" s="12"/>
      <c r="AW613" s="12"/>
      <c r="AX613" s="12">
        <v>0</v>
      </c>
      <c r="AY613" s="12">
        <v>0</v>
      </c>
      <c r="AZ613" s="12">
        <v>0</v>
      </c>
      <c r="BA613" s="12" t="s">
        <v>3235</v>
      </c>
      <c r="BB613" s="12"/>
      <c r="BC613" s="12" t="s">
        <v>7062</v>
      </c>
      <c r="BD613" s="12"/>
      <c r="BE613" s="12" t="s">
        <v>2291</v>
      </c>
      <c r="BF613" s="12"/>
      <c r="BG613" s="12"/>
      <c r="BH613" s="12"/>
      <c r="BI613" s="12"/>
      <c r="BJ613" s="12"/>
      <c r="BK613" s="12"/>
      <c r="BL613" s="12" t="s">
        <v>2292</v>
      </c>
      <c r="BM613" s="12" t="s">
        <v>2292</v>
      </c>
      <c r="BN613" s="12" t="s">
        <v>2292</v>
      </c>
      <c r="BO613" s="12" t="s">
        <v>2292</v>
      </c>
      <c r="BP613" s="12"/>
      <c r="BQ613" s="12"/>
      <c r="BR613" s="12"/>
      <c r="BS613" s="12"/>
      <c r="BT613" s="12"/>
      <c r="BU613" s="12"/>
      <c r="BV613" s="12"/>
      <c r="BW613" s="12"/>
      <c r="BX613" s="12"/>
      <c r="BY613" s="18" t="s">
        <v>344</v>
      </c>
      <c r="BZ613" s="13" t="s">
        <v>6170</v>
      </c>
      <c r="CA613" s="13" t="s">
        <v>6170</v>
      </c>
      <c r="CB613" s="13" t="s">
        <v>312</v>
      </c>
      <c r="CC613" s="13"/>
      <c r="CD613" s="13" t="s">
        <v>6198</v>
      </c>
      <c r="CE613" s="13"/>
      <c r="CF613" s="13"/>
    </row>
    <row r="614" spans="1:84" ht="18.600000000000001" customHeight="1" x14ac:dyDescent="0.25">
      <c r="A614" s="60" t="s">
        <v>227</v>
      </c>
      <c r="B614" s="2" t="s">
        <v>315</v>
      </c>
      <c r="C614" s="3" t="s">
        <v>2729</v>
      </c>
      <c r="D614" s="12" t="s">
        <v>2166</v>
      </c>
      <c r="E614" s="12" t="s">
        <v>2165</v>
      </c>
      <c r="F614" s="12" t="s">
        <v>4194</v>
      </c>
      <c r="G614" s="25">
        <v>43481</v>
      </c>
      <c r="H614" s="25">
        <v>20592</v>
      </c>
      <c r="I614" s="25">
        <v>4624</v>
      </c>
      <c r="J614" s="25">
        <v>13876</v>
      </c>
      <c r="K614" s="25">
        <v>283507</v>
      </c>
      <c r="L614" s="25">
        <v>273005</v>
      </c>
      <c r="M614" s="25">
        <v>556512</v>
      </c>
      <c r="N614" s="31">
        <v>0.51</v>
      </c>
      <c r="O614" s="25">
        <v>1931</v>
      </c>
      <c r="P614" s="25">
        <v>69222</v>
      </c>
      <c r="Q614" s="25">
        <v>1283</v>
      </c>
      <c r="R614" s="25">
        <v>383</v>
      </c>
      <c r="S614" s="25">
        <v>1185</v>
      </c>
      <c r="T614" s="25">
        <v>617</v>
      </c>
      <c r="U614" s="61">
        <v>921</v>
      </c>
      <c r="V614" s="58">
        <v>1.5E-3</v>
      </c>
      <c r="W614" s="33">
        <v>1.2999999999999999E-3</v>
      </c>
      <c r="X614" s="33">
        <v>6.9999999999999999E-4</v>
      </c>
      <c r="Y614" s="33">
        <v>2.9999999999999997E-4</v>
      </c>
      <c r="Z614" s="33">
        <v>1.6999999999999999E-3</v>
      </c>
      <c r="AA614" s="33">
        <v>4.0000000000000002E-4</v>
      </c>
      <c r="AB614" s="25">
        <v>1010</v>
      </c>
      <c r="AC614" s="25">
        <v>387</v>
      </c>
      <c r="AD614" s="25">
        <v>13</v>
      </c>
      <c r="AE614" s="25">
        <v>8</v>
      </c>
      <c r="AF614" s="25">
        <v>563</v>
      </c>
      <c r="AG614" s="25">
        <v>16</v>
      </c>
      <c r="AH614" s="25">
        <v>23</v>
      </c>
      <c r="AI614" s="12">
        <v>2.2999999999999998</v>
      </c>
      <c r="AJ614" s="25">
        <v>35846</v>
      </c>
      <c r="AK614" s="25">
        <v>11570</v>
      </c>
      <c r="AL614" s="33">
        <v>0.47660000000000002</v>
      </c>
      <c r="AM614" s="3" t="s">
        <v>2729</v>
      </c>
      <c r="AN614" s="12" t="s">
        <v>2165</v>
      </c>
      <c r="AO614" s="12" t="s">
        <v>2165</v>
      </c>
      <c r="AP614" s="12" t="str">
        <f>"395976420455839"</f>
        <v>395976420455839</v>
      </c>
      <c r="AQ614" s="12" t="s">
        <v>2166</v>
      </c>
      <c r="AR614" s="12" t="s">
        <v>2167</v>
      </c>
      <c r="AS614" s="12" t="s">
        <v>2168</v>
      </c>
      <c r="AT614" s="12"/>
      <c r="AU614" s="12" t="s">
        <v>324</v>
      </c>
      <c r="AV614" s="12" t="s">
        <v>5731</v>
      </c>
      <c r="AW614" s="12"/>
      <c r="AX614" s="12">
        <v>21</v>
      </c>
      <c r="AY614" s="12">
        <v>2689</v>
      </c>
      <c r="AZ614" s="12">
        <v>21</v>
      </c>
      <c r="BA614" s="12" t="s">
        <v>2169</v>
      </c>
      <c r="BB614" s="12" t="s">
        <v>6884</v>
      </c>
      <c r="BC614" s="12" t="s">
        <v>6885</v>
      </c>
      <c r="BD614" s="12"/>
      <c r="BE614" s="12" t="s">
        <v>2291</v>
      </c>
      <c r="BF614" s="12"/>
      <c r="BG614" s="12"/>
      <c r="BH614" s="12"/>
      <c r="BI614" s="12"/>
      <c r="BJ614" s="12"/>
      <c r="BK614" s="12" t="s">
        <v>6387</v>
      </c>
      <c r="BL614" s="12" t="s">
        <v>2292</v>
      </c>
      <c r="BM614" s="12" t="s">
        <v>2292</v>
      </c>
      <c r="BN614" s="12" t="s">
        <v>2292</v>
      </c>
      <c r="BO614" s="12" t="s">
        <v>2292</v>
      </c>
      <c r="BP614" s="12"/>
      <c r="BQ614" s="12"/>
      <c r="BR614" s="12"/>
      <c r="BS614" s="12"/>
      <c r="BT614" s="12"/>
      <c r="BU614" s="12" t="s">
        <v>326</v>
      </c>
      <c r="BV614" s="12"/>
      <c r="BW614" s="12"/>
      <c r="BX614" s="12"/>
      <c r="BY614" s="13" t="s">
        <v>313</v>
      </c>
      <c r="BZ614" s="13" t="s">
        <v>6172</v>
      </c>
      <c r="CA614" s="13" t="s">
        <v>6170</v>
      </c>
      <c r="CB614" s="13" t="s">
        <v>312</v>
      </c>
      <c r="CC614" s="13"/>
      <c r="CD614" s="13" t="s">
        <v>6198</v>
      </c>
      <c r="CE614" s="13"/>
      <c r="CF614" s="13"/>
    </row>
    <row r="615" spans="1:84" ht="18.600000000000001" customHeight="1" x14ac:dyDescent="0.25">
      <c r="A615" s="60" t="s">
        <v>227</v>
      </c>
      <c r="B615" s="2" t="s">
        <v>335</v>
      </c>
      <c r="C615" s="40" t="s">
        <v>3892</v>
      </c>
      <c r="D615" s="12" t="s">
        <v>3746</v>
      </c>
      <c r="E615" s="12" t="s">
        <v>3981</v>
      </c>
      <c r="F615" s="12" t="s">
        <v>3982</v>
      </c>
      <c r="G615" s="25">
        <v>52653</v>
      </c>
      <c r="H615" s="25">
        <v>29172</v>
      </c>
      <c r="I615" s="25">
        <v>960</v>
      </c>
      <c r="J615" s="25">
        <v>20399</v>
      </c>
      <c r="K615" s="25">
        <v>47426</v>
      </c>
      <c r="L615" s="25">
        <v>78630</v>
      </c>
      <c r="M615" s="25">
        <v>126056</v>
      </c>
      <c r="N615" s="31">
        <v>0.38</v>
      </c>
      <c r="O615" s="25">
        <v>6533</v>
      </c>
      <c r="P615" s="25">
        <v>619</v>
      </c>
      <c r="Q615" s="25">
        <v>1589</v>
      </c>
      <c r="R615" s="25">
        <v>226</v>
      </c>
      <c r="S615" s="25">
        <v>165</v>
      </c>
      <c r="T615" s="25">
        <v>58</v>
      </c>
      <c r="U615" s="61">
        <v>84</v>
      </c>
      <c r="V615" s="58">
        <v>6.7000000000000002E-3</v>
      </c>
      <c r="W615" s="33">
        <v>6.1999999999999998E-3</v>
      </c>
      <c r="X615" s="33">
        <v>4.7999999999999996E-3</v>
      </c>
      <c r="Y615" s="33">
        <v>2.8999999999999998E-3</v>
      </c>
      <c r="Z615" s="33">
        <v>9.5999999999999992E-3</v>
      </c>
      <c r="AA615" s="33">
        <v>2.8999999999999998E-3</v>
      </c>
      <c r="AB615" s="25">
        <v>1641</v>
      </c>
      <c r="AC615" s="25">
        <v>969</v>
      </c>
      <c r="AD615" s="25">
        <v>403</v>
      </c>
      <c r="AE615" s="25">
        <v>5</v>
      </c>
      <c r="AF615" s="25">
        <v>165</v>
      </c>
      <c r="AG615" s="25">
        <v>35</v>
      </c>
      <c r="AH615" s="25">
        <v>64</v>
      </c>
      <c r="AI615" s="12">
        <v>3.74</v>
      </c>
      <c r="AJ615" s="25">
        <v>8685</v>
      </c>
      <c r="AK615" s="25">
        <v>6572</v>
      </c>
      <c r="AL615" s="33">
        <v>3.1103000000000001</v>
      </c>
      <c r="AM615" s="40" t="s">
        <v>3892</v>
      </c>
      <c r="AN615" s="12" t="s">
        <v>3981</v>
      </c>
      <c r="AO615" s="12" t="s">
        <v>3981</v>
      </c>
      <c r="AP615" s="12" t="str">
        <f>"197354553936406"</f>
        <v>197354553936406</v>
      </c>
      <c r="AQ615" s="12" t="s">
        <v>3746</v>
      </c>
      <c r="AR615" s="12" t="s">
        <v>3747</v>
      </c>
      <c r="AS615" s="12"/>
      <c r="AT615" s="12"/>
      <c r="AU615" s="12" t="s">
        <v>324</v>
      </c>
      <c r="AV615" s="12" t="s">
        <v>5731</v>
      </c>
      <c r="AW615" s="12"/>
      <c r="AX615" s="12">
        <v>290</v>
      </c>
      <c r="AY615" s="12">
        <v>2325</v>
      </c>
      <c r="AZ615" s="12">
        <v>290</v>
      </c>
      <c r="BA615" s="12" t="s">
        <v>4520</v>
      </c>
      <c r="BB615" s="12" t="s">
        <v>6385</v>
      </c>
      <c r="BC615" s="12" t="s">
        <v>6386</v>
      </c>
      <c r="BD615" s="12"/>
      <c r="BE615" s="12" t="s">
        <v>2291</v>
      </c>
      <c r="BF615" s="12"/>
      <c r="BG615" s="12"/>
      <c r="BH615" s="12"/>
      <c r="BI615" s="12" t="s">
        <v>3748</v>
      </c>
      <c r="BJ615" s="12"/>
      <c r="BK615" s="12" t="s">
        <v>6387</v>
      </c>
      <c r="BL615" s="12" t="s">
        <v>2292</v>
      </c>
      <c r="BM615" s="12" t="s">
        <v>2292</v>
      </c>
      <c r="BN615" s="12" t="s">
        <v>2292</v>
      </c>
      <c r="BO615" s="12" t="s">
        <v>2292</v>
      </c>
      <c r="BP615" s="12"/>
      <c r="BQ615" s="12"/>
      <c r="BR615" s="12"/>
      <c r="BS615" s="12"/>
      <c r="BT615" s="12" t="s">
        <v>3749</v>
      </c>
      <c r="BU615" s="12" t="s">
        <v>326</v>
      </c>
      <c r="BV615" s="12"/>
      <c r="BW615" s="12" t="s">
        <v>4889</v>
      </c>
      <c r="BX615" s="12"/>
      <c r="BY615" s="13" t="s">
        <v>313</v>
      </c>
      <c r="BZ615" s="13" t="s">
        <v>6170</v>
      </c>
      <c r="CA615" s="13" t="s">
        <v>6170</v>
      </c>
      <c r="CB615" s="13" t="s">
        <v>6201</v>
      </c>
      <c r="CC615" s="13"/>
      <c r="CD615" s="13" t="s">
        <v>6198</v>
      </c>
      <c r="CE615" s="13"/>
      <c r="CF615" s="13"/>
    </row>
    <row r="616" spans="1:84" ht="18.600000000000001" customHeight="1" x14ac:dyDescent="0.25">
      <c r="A616" s="60" t="s">
        <v>228</v>
      </c>
      <c r="B616" s="2" t="s">
        <v>3328</v>
      </c>
      <c r="C616" s="10" t="s">
        <v>3329</v>
      </c>
      <c r="D616" s="12" t="s">
        <v>3190</v>
      </c>
      <c r="E616" s="12" t="s">
        <v>3188</v>
      </c>
      <c r="F616" s="12" t="s">
        <v>4190</v>
      </c>
      <c r="G616" s="25">
        <v>2305574</v>
      </c>
      <c r="H616" s="25">
        <v>778638</v>
      </c>
      <c r="I616" s="25">
        <v>964968</v>
      </c>
      <c r="J616" s="25">
        <v>143882</v>
      </c>
      <c r="K616" s="25">
        <v>6960484</v>
      </c>
      <c r="L616" s="25">
        <v>4418721</v>
      </c>
      <c r="M616" s="25">
        <v>11379205</v>
      </c>
      <c r="N616" s="31">
        <v>0.61</v>
      </c>
      <c r="O616" s="25">
        <v>2087896</v>
      </c>
      <c r="P616" s="25">
        <v>28289</v>
      </c>
      <c r="Q616" s="25">
        <v>87286</v>
      </c>
      <c r="R616" s="25">
        <v>5131</v>
      </c>
      <c r="S616" s="25">
        <v>71556</v>
      </c>
      <c r="T616" s="25">
        <v>6844</v>
      </c>
      <c r="U616" s="61">
        <v>246226</v>
      </c>
      <c r="V616" s="58">
        <v>6.0000000000000001E-3</v>
      </c>
      <c r="W616" s="33">
        <v>7.7999999999999996E-3</v>
      </c>
      <c r="X616" s="33">
        <v>4.5999999999999999E-3</v>
      </c>
      <c r="Y616" s="33">
        <v>1.21E-2</v>
      </c>
      <c r="Z616" s="33">
        <v>8.0000000000000002E-3</v>
      </c>
      <c r="AA616" s="33">
        <v>2.7000000000000001E-3</v>
      </c>
      <c r="AB616" s="25">
        <v>654</v>
      </c>
      <c r="AC616" s="25">
        <v>141</v>
      </c>
      <c r="AD616" s="25">
        <v>60</v>
      </c>
      <c r="AE616" s="25">
        <v>1</v>
      </c>
      <c r="AF616" s="25">
        <v>275</v>
      </c>
      <c r="AG616" s="25">
        <v>164</v>
      </c>
      <c r="AH616" s="25">
        <v>13</v>
      </c>
      <c r="AI616" s="12">
        <v>1.49</v>
      </c>
      <c r="AJ616" s="25">
        <v>599806</v>
      </c>
      <c r="AK616" s="25">
        <v>56228</v>
      </c>
      <c r="AL616" s="33">
        <v>0.10340000000000001</v>
      </c>
      <c r="AM616" s="10" t="s">
        <v>3329</v>
      </c>
      <c r="AN616" s="12" t="s">
        <v>3188</v>
      </c>
      <c r="AO616" s="12" t="s">
        <v>3188</v>
      </c>
      <c r="AP616" s="12" t="str">
        <f>"435464776514810"</f>
        <v>435464776514810</v>
      </c>
      <c r="AQ616" s="12" t="s">
        <v>3190</v>
      </c>
      <c r="AR616" s="12" t="s">
        <v>3430</v>
      </c>
      <c r="AS616" s="12" t="s">
        <v>3624</v>
      </c>
      <c r="AT616" s="12" t="s">
        <v>3625</v>
      </c>
      <c r="AU616" s="12" t="s">
        <v>309</v>
      </c>
      <c r="AV616" s="12"/>
      <c r="AW616" s="12"/>
      <c r="AX616" s="12">
        <v>0</v>
      </c>
      <c r="AY616" s="12">
        <v>13196</v>
      </c>
      <c r="AZ616" s="12">
        <v>0</v>
      </c>
      <c r="BA616" s="12" t="s">
        <v>3431</v>
      </c>
      <c r="BB616" s="12" t="s">
        <v>6876</v>
      </c>
      <c r="BC616" s="12" t="s">
        <v>6877</v>
      </c>
      <c r="BD616" s="12" t="s">
        <v>3432</v>
      </c>
      <c r="BE616" s="12" t="s">
        <v>2291</v>
      </c>
      <c r="BF616" s="12"/>
      <c r="BG616" s="12"/>
      <c r="BH616" s="12"/>
      <c r="BI616" s="12"/>
      <c r="BJ616" s="12"/>
      <c r="BK616" s="12"/>
      <c r="BL616" s="12" t="s">
        <v>2292</v>
      </c>
      <c r="BM616" s="12" t="s">
        <v>2292</v>
      </c>
      <c r="BN616" s="12" t="s">
        <v>2292</v>
      </c>
      <c r="BO616" s="12" t="s">
        <v>2291</v>
      </c>
      <c r="BP616" s="12"/>
      <c r="BQ616" s="12"/>
      <c r="BR616" s="12"/>
      <c r="BS616" s="12"/>
      <c r="BT616" s="12"/>
      <c r="BU616" s="12"/>
      <c r="BV616" s="12"/>
      <c r="BW616" s="12" t="s">
        <v>2185</v>
      </c>
      <c r="BX616" s="12"/>
      <c r="BY616" s="13" t="s">
        <v>313</v>
      </c>
      <c r="BZ616" s="13" t="s">
        <v>312</v>
      </c>
      <c r="CA616" s="13"/>
      <c r="CB616" s="13"/>
      <c r="CC616" s="13"/>
      <c r="CD616" s="13"/>
      <c r="CE616" s="13" t="s">
        <v>6175</v>
      </c>
      <c r="CF616" s="13"/>
    </row>
    <row r="617" spans="1:84" ht="18.600000000000001" customHeight="1" x14ac:dyDescent="0.25">
      <c r="A617" s="60" t="s">
        <v>228</v>
      </c>
      <c r="B617" s="2" t="s">
        <v>314</v>
      </c>
      <c r="C617" s="3" t="s">
        <v>2987</v>
      </c>
      <c r="D617" s="12" t="s">
        <v>2171</v>
      </c>
      <c r="E617" s="12" t="s">
        <v>2170</v>
      </c>
      <c r="F617" s="3" t="s">
        <v>4356</v>
      </c>
      <c r="G617" s="25">
        <v>2170</v>
      </c>
      <c r="H617" s="25">
        <v>839</v>
      </c>
      <c r="I617" s="25">
        <v>781</v>
      </c>
      <c r="J617" s="25">
        <v>79</v>
      </c>
      <c r="K617" s="25">
        <v>2162</v>
      </c>
      <c r="L617" s="25">
        <v>4815</v>
      </c>
      <c r="M617" s="25">
        <v>6977</v>
      </c>
      <c r="N617" s="31">
        <v>0.31</v>
      </c>
      <c r="O617" s="25">
        <v>5817</v>
      </c>
      <c r="P617" s="25">
        <v>142</v>
      </c>
      <c r="Q617" s="25">
        <v>31</v>
      </c>
      <c r="R617" s="25">
        <v>8</v>
      </c>
      <c r="S617" s="25">
        <v>118</v>
      </c>
      <c r="T617" s="25">
        <v>7</v>
      </c>
      <c r="U617" s="61">
        <v>307</v>
      </c>
      <c r="V617" s="58">
        <v>5.9999999999999995E-4</v>
      </c>
      <c r="W617" s="33">
        <v>5.9999999999999995E-4</v>
      </c>
      <c r="X617" s="33">
        <v>5.0000000000000001E-4</v>
      </c>
      <c r="Y617" s="33">
        <v>0</v>
      </c>
      <c r="Z617" s="33">
        <v>8.9999999999999998E-4</v>
      </c>
      <c r="AA617" s="33">
        <v>2.0000000000000001E-4</v>
      </c>
      <c r="AB617" s="25">
        <v>70</v>
      </c>
      <c r="AC617" s="25">
        <v>36</v>
      </c>
      <c r="AD617" s="25">
        <v>13</v>
      </c>
      <c r="AE617" s="25">
        <v>2</v>
      </c>
      <c r="AF617" s="25">
        <v>3</v>
      </c>
      <c r="AG617" s="25">
        <v>14</v>
      </c>
      <c r="AH617" s="25">
        <v>2</v>
      </c>
      <c r="AI617" s="12">
        <v>0.16</v>
      </c>
      <c r="AJ617" s="25">
        <v>51737</v>
      </c>
      <c r="AK617" s="25">
        <v>-113</v>
      </c>
      <c r="AL617" s="33">
        <v>-2.2000000000000001E-3</v>
      </c>
      <c r="AM617" s="3" t="s">
        <v>2987</v>
      </c>
      <c r="AN617" s="12" t="s">
        <v>2170</v>
      </c>
      <c r="AO617" s="12" t="s">
        <v>2170</v>
      </c>
      <c r="AP617" s="12" t="str">
        <f>"324716950937499"</f>
        <v>324716950937499</v>
      </c>
      <c r="AQ617" s="12" t="s">
        <v>2171</v>
      </c>
      <c r="AR617" s="12" t="s">
        <v>3682</v>
      </c>
      <c r="AS617" s="12" t="s">
        <v>2988</v>
      </c>
      <c r="AT617" s="12"/>
      <c r="AU617" s="12" t="s">
        <v>324</v>
      </c>
      <c r="AV617" s="12" t="s">
        <v>5731</v>
      </c>
      <c r="AW617" s="12"/>
      <c r="AX617" s="12">
        <v>184</v>
      </c>
      <c r="AY617" s="12">
        <v>103</v>
      </c>
      <c r="AZ617" s="12">
        <v>184</v>
      </c>
      <c r="BA617" s="12" t="s">
        <v>261</v>
      </c>
      <c r="BB617" s="12" t="s">
        <v>7226</v>
      </c>
      <c r="BC617" s="12" t="s">
        <v>7227</v>
      </c>
      <c r="BD617" s="12"/>
      <c r="BE617" s="12" t="s">
        <v>2291</v>
      </c>
      <c r="BF617" s="12"/>
      <c r="BG617" s="12"/>
      <c r="BH617" s="12"/>
      <c r="BI617" s="12" t="s">
        <v>6014</v>
      </c>
      <c r="BJ617" s="12"/>
      <c r="BK617" s="12" t="s">
        <v>7228</v>
      </c>
      <c r="BL617" s="12" t="s">
        <v>2292</v>
      </c>
      <c r="BM617" s="12" t="s">
        <v>2292</v>
      </c>
      <c r="BN617" s="12" t="s">
        <v>2292</v>
      </c>
      <c r="BO617" s="12" t="s">
        <v>2291</v>
      </c>
      <c r="BP617" s="12"/>
      <c r="BQ617" s="12"/>
      <c r="BR617" s="12"/>
      <c r="BS617" s="12"/>
      <c r="BT617" s="12" t="s">
        <v>2172</v>
      </c>
      <c r="BU617" s="12" t="s">
        <v>326</v>
      </c>
      <c r="BV617" s="12"/>
      <c r="BW617" s="12" t="s">
        <v>2173</v>
      </c>
      <c r="BX617" s="12"/>
      <c r="BY617" s="13" t="s">
        <v>313</v>
      </c>
      <c r="BZ617" s="13" t="s">
        <v>312</v>
      </c>
      <c r="CA617" s="13"/>
      <c r="CB617" s="13"/>
      <c r="CC617" s="13"/>
      <c r="CD617" s="13"/>
      <c r="CE617" s="13"/>
      <c r="CF617" s="13"/>
    </row>
    <row r="618" spans="1:84" ht="18.600000000000001" customHeight="1" x14ac:dyDescent="0.25">
      <c r="A618" s="60" t="s">
        <v>228</v>
      </c>
      <c r="B618" s="2" t="s">
        <v>315</v>
      </c>
      <c r="C618" s="3" t="s">
        <v>5688</v>
      </c>
      <c r="D618" s="12" t="s">
        <v>5663</v>
      </c>
      <c r="E618" s="12" t="s">
        <v>2175</v>
      </c>
      <c r="F618" s="12" t="s">
        <v>4253</v>
      </c>
      <c r="G618" s="25">
        <v>3198812</v>
      </c>
      <c r="H618" s="25">
        <v>643367</v>
      </c>
      <c r="I618" s="25">
        <v>1444359</v>
      </c>
      <c r="J618" s="25">
        <v>212885</v>
      </c>
      <c r="K618" s="25">
        <v>12583857</v>
      </c>
      <c r="L618" s="25">
        <v>14050002</v>
      </c>
      <c r="M618" s="25">
        <v>26633859</v>
      </c>
      <c r="N618" s="31">
        <v>0.47</v>
      </c>
      <c r="O618" s="25">
        <v>1271563</v>
      </c>
      <c r="P618" s="25">
        <v>3002074</v>
      </c>
      <c r="Q618" s="25">
        <v>69226</v>
      </c>
      <c r="R618" s="25">
        <v>7716</v>
      </c>
      <c r="S618" s="25">
        <v>169138</v>
      </c>
      <c r="T618" s="25">
        <v>12148</v>
      </c>
      <c r="U618" s="61">
        <v>639412</v>
      </c>
      <c r="V618" s="58">
        <v>2.7000000000000001E-3</v>
      </c>
      <c r="W618" s="33">
        <v>1.9E-3</v>
      </c>
      <c r="X618" s="33">
        <v>2E-3</v>
      </c>
      <c r="Y618" s="33">
        <v>2E-3</v>
      </c>
      <c r="Z618" s="33">
        <v>4.7000000000000002E-3</v>
      </c>
      <c r="AA618" s="33">
        <v>8.0000000000000004E-4</v>
      </c>
      <c r="AB618" s="25">
        <v>1748</v>
      </c>
      <c r="AC618" s="25">
        <v>740</v>
      </c>
      <c r="AD618" s="25">
        <v>311</v>
      </c>
      <c r="AE618" s="25">
        <v>2</v>
      </c>
      <c r="AF618" s="25">
        <v>488</v>
      </c>
      <c r="AG618" s="25">
        <v>141</v>
      </c>
      <c r="AH618" s="25">
        <v>66</v>
      </c>
      <c r="AI618" s="12">
        <v>3.98</v>
      </c>
      <c r="AJ618" s="25">
        <v>781965</v>
      </c>
      <c r="AK618" s="25">
        <v>155991</v>
      </c>
      <c r="AL618" s="33">
        <v>0.2492</v>
      </c>
      <c r="AM618" s="3" t="s">
        <v>5688</v>
      </c>
      <c r="AN618" s="12" t="s">
        <v>2175</v>
      </c>
      <c r="AO618" s="12" t="s">
        <v>2175</v>
      </c>
      <c r="AP618" s="12" t="str">
        <f>"199126586891882"</f>
        <v>199126586891882</v>
      </c>
      <c r="AQ618" s="12" t="s">
        <v>5663</v>
      </c>
      <c r="AR618" s="12" t="s">
        <v>2174</v>
      </c>
      <c r="AS618" s="12" t="s">
        <v>5948</v>
      </c>
      <c r="AT618" s="12"/>
      <c r="AU618" s="12" t="s">
        <v>324</v>
      </c>
      <c r="AV618" s="12" t="s">
        <v>5731</v>
      </c>
      <c r="AW618" s="12"/>
      <c r="AX618" s="12">
        <v>37934</v>
      </c>
      <c r="AY618" s="12">
        <v>7147</v>
      </c>
      <c r="AZ618" s="12">
        <v>0</v>
      </c>
      <c r="BA618" s="12" t="s">
        <v>5949</v>
      </c>
      <c r="BB618" s="12" t="s">
        <v>7004</v>
      </c>
      <c r="BC618" s="12" t="s">
        <v>7005</v>
      </c>
      <c r="BD618" s="12"/>
      <c r="BE618" s="12" t="s">
        <v>2291</v>
      </c>
      <c r="BF618" s="12"/>
      <c r="BG618" s="12"/>
      <c r="BH618" s="12"/>
      <c r="BI618" s="12"/>
      <c r="BJ618" s="12"/>
      <c r="BK618" s="12"/>
      <c r="BL618" s="12" t="s">
        <v>2292</v>
      </c>
      <c r="BM618" s="12" t="s">
        <v>2292</v>
      </c>
      <c r="BN618" s="12" t="s">
        <v>2292</v>
      </c>
      <c r="BO618" s="12" t="s">
        <v>2291</v>
      </c>
      <c r="BP618" s="12"/>
      <c r="BQ618" s="12"/>
      <c r="BR618" s="12"/>
      <c r="BS618" s="12"/>
      <c r="BT618" s="12"/>
      <c r="BU618" s="12" t="s">
        <v>326</v>
      </c>
      <c r="BV618" s="12"/>
      <c r="BW618" s="12"/>
      <c r="BX618" s="12"/>
      <c r="BY618" s="13" t="s">
        <v>313</v>
      </c>
      <c r="BZ618" s="13" t="s">
        <v>6174</v>
      </c>
      <c r="CA618" s="13"/>
      <c r="CB618" s="13"/>
      <c r="CC618" s="13"/>
      <c r="CD618" s="13"/>
      <c r="CE618" s="13"/>
      <c r="CF618" s="13"/>
    </row>
    <row r="619" spans="1:84" ht="18.600000000000001" customHeight="1" x14ac:dyDescent="0.25">
      <c r="A619" s="60" t="s">
        <v>228</v>
      </c>
      <c r="B619" s="2" t="s">
        <v>315</v>
      </c>
      <c r="C619" s="3" t="s">
        <v>2860</v>
      </c>
      <c r="D619" s="12" t="s">
        <v>2181</v>
      </c>
      <c r="E619" s="12" t="s">
        <v>2180</v>
      </c>
      <c r="F619" s="12" t="s">
        <v>4276</v>
      </c>
      <c r="G619" s="25">
        <v>522063</v>
      </c>
      <c r="H619" s="25">
        <v>341834</v>
      </c>
      <c r="I619" s="25">
        <v>80359</v>
      </c>
      <c r="J619" s="25">
        <v>53015</v>
      </c>
      <c r="K619" s="25">
        <v>3960264</v>
      </c>
      <c r="L619" s="25">
        <v>938180</v>
      </c>
      <c r="M619" s="25">
        <v>4898444</v>
      </c>
      <c r="N619" s="31">
        <v>0.81</v>
      </c>
      <c r="O619" s="25">
        <v>1503736</v>
      </c>
      <c r="P619" s="25">
        <v>449194</v>
      </c>
      <c r="Q619" s="25">
        <v>6577</v>
      </c>
      <c r="R619" s="25">
        <v>1921</v>
      </c>
      <c r="S619" s="25">
        <v>6872</v>
      </c>
      <c r="T619" s="25">
        <v>1376</v>
      </c>
      <c r="U619" s="61">
        <v>30097</v>
      </c>
      <c r="V619" s="58">
        <v>4.0000000000000002E-4</v>
      </c>
      <c r="W619" s="33">
        <v>5.9999999999999995E-4</v>
      </c>
      <c r="X619" s="33">
        <v>1E-4</v>
      </c>
      <c r="Y619" s="12" t="s">
        <v>3926</v>
      </c>
      <c r="Z619" s="33">
        <v>5.9999999999999995E-4</v>
      </c>
      <c r="AA619" s="33">
        <v>8.9999999999999998E-4</v>
      </c>
      <c r="AB619" s="25">
        <v>1149</v>
      </c>
      <c r="AC619" s="25">
        <v>347</v>
      </c>
      <c r="AD619" s="25">
        <v>457</v>
      </c>
      <c r="AE619" s="25">
        <v>0</v>
      </c>
      <c r="AF619" s="25">
        <v>139</v>
      </c>
      <c r="AG619" s="25">
        <v>170</v>
      </c>
      <c r="AH619" s="25">
        <v>36</v>
      </c>
      <c r="AI619" s="12">
        <v>2.62</v>
      </c>
      <c r="AJ619" s="25">
        <v>1308036</v>
      </c>
      <c r="AK619" s="25">
        <v>263912</v>
      </c>
      <c r="AL619" s="33">
        <v>0.25280000000000002</v>
      </c>
      <c r="AM619" s="3" t="s">
        <v>2860</v>
      </c>
      <c r="AN619" s="12" t="s">
        <v>2180</v>
      </c>
      <c r="AO619" s="12" t="s">
        <v>2180</v>
      </c>
      <c r="AP619" s="12" t="str">
        <f>"448342938551601"</f>
        <v>448342938551601</v>
      </c>
      <c r="AQ619" s="12" t="s">
        <v>2181</v>
      </c>
      <c r="AR619" s="12" t="s">
        <v>2182</v>
      </c>
      <c r="AS619" s="12" t="s">
        <v>2183</v>
      </c>
      <c r="AT619" s="12"/>
      <c r="AU619" s="12" t="s">
        <v>4561</v>
      </c>
      <c r="AV619" s="12" t="s">
        <v>5874</v>
      </c>
      <c r="AW619" s="12"/>
      <c r="AX619" s="12">
        <v>10</v>
      </c>
      <c r="AY619" s="12">
        <v>711</v>
      </c>
      <c r="AZ619" s="12">
        <v>10</v>
      </c>
      <c r="BA619" s="12" t="s">
        <v>2184</v>
      </c>
      <c r="BB619" s="12" t="s">
        <v>7052</v>
      </c>
      <c r="BC619" s="12" t="s">
        <v>7053</v>
      </c>
      <c r="BD619" s="12"/>
      <c r="BE619" s="12" t="s">
        <v>2291</v>
      </c>
      <c r="BF619" s="12"/>
      <c r="BG619" s="12"/>
      <c r="BH619" s="12"/>
      <c r="BI619" s="12"/>
      <c r="BJ619" s="12"/>
      <c r="BK619" s="12"/>
      <c r="BL619" s="12" t="s">
        <v>2292</v>
      </c>
      <c r="BM619" s="12" t="s">
        <v>2292</v>
      </c>
      <c r="BN619" s="12" t="s">
        <v>2292</v>
      </c>
      <c r="BO619" s="12" t="s">
        <v>2291</v>
      </c>
      <c r="BP619" s="12"/>
      <c r="BQ619" s="12"/>
      <c r="BR619" s="12"/>
      <c r="BS619" s="12"/>
      <c r="BT619" s="12"/>
      <c r="BU619" s="12" t="s">
        <v>326</v>
      </c>
      <c r="BV619" s="12"/>
      <c r="BW619" s="12"/>
      <c r="BX619" s="12"/>
      <c r="BY619" s="13" t="s">
        <v>313</v>
      </c>
      <c r="BZ619" s="13" t="s">
        <v>6174</v>
      </c>
      <c r="CA619" s="13"/>
      <c r="CB619" s="13"/>
      <c r="CC619" s="13"/>
      <c r="CD619" s="13"/>
      <c r="CE619" s="13"/>
      <c r="CF619" s="13"/>
    </row>
    <row r="620" spans="1:84" ht="18.600000000000001" customHeight="1" x14ac:dyDescent="0.25">
      <c r="A620" s="60" t="s">
        <v>228</v>
      </c>
      <c r="B620" s="2" t="s">
        <v>4854</v>
      </c>
      <c r="C620" s="3" t="s">
        <v>4855</v>
      </c>
      <c r="D620" s="12" t="s">
        <v>4858</v>
      </c>
      <c r="E620" s="12" t="s">
        <v>4859</v>
      </c>
      <c r="F620" s="3" t="s">
        <v>4860</v>
      </c>
      <c r="G620" s="25">
        <v>77346</v>
      </c>
      <c r="H620" s="25">
        <v>32320</v>
      </c>
      <c r="I620" s="25">
        <v>25507</v>
      </c>
      <c r="J620" s="25">
        <v>8913</v>
      </c>
      <c r="K620" s="25">
        <v>45325</v>
      </c>
      <c r="L620" s="25">
        <v>61650</v>
      </c>
      <c r="M620" s="25">
        <v>106975</v>
      </c>
      <c r="N620" s="31">
        <v>0.42</v>
      </c>
      <c r="O620" s="25">
        <v>0</v>
      </c>
      <c r="P620" s="25">
        <v>0</v>
      </c>
      <c r="Q620" s="25">
        <v>1432</v>
      </c>
      <c r="R620" s="25">
        <v>200</v>
      </c>
      <c r="S620" s="25">
        <v>888</v>
      </c>
      <c r="T620" s="25">
        <v>465</v>
      </c>
      <c r="U620" s="61">
        <v>7617</v>
      </c>
      <c r="V620" s="58">
        <v>4.1000000000000003E-3</v>
      </c>
      <c r="W620" s="33">
        <v>1.8E-3</v>
      </c>
      <c r="X620" s="33">
        <v>7.9000000000000008E-3</v>
      </c>
      <c r="Y620" s="33">
        <v>6.1999999999999998E-3</v>
      </c>
      <c r="Z620" s="33">
        <v>1.3299999999999999E-2</v>
      </c>
      <c r="AA620" s="12" t="s">
        <v>3926</v>
      </c>
      <c r="AB620" s="25">
        <v>195</v>
      </c>
      <c r="AC620" s="25">
        <v>113</v>
      </c>
      <c r="AD620" s="25">
        <v>23</v>
      </c>
      <c r="AE620" s="25">
        <v>53</v>
      </c>
      <c r="AF620" s="25">
        <v>6</v>
      </c>
      <c r="AG620" s="25">
        <v>0</v>
      </c>
      <c r="AH620" s="25">
        <v>0</v>
      </c>
      <c r="AI620" s="12">
        <v>0.44</v>
      </c>
      <c r="AJ620" s="25">
        <v>95358</v>
      </c>
      <c r="AK620" s="25">
        <v>-4705</v>
      </c>
      <c r="AL620" s="33">
        <v>-4.7E-2</v>
      </c>
      <c r="AM620" s="3" t="s">
        <v>4855</v>
      </c>
      <c r="AN620" s="12" t="s">
        <v>4859</v>
      </c>
      <c r="AO620" s="12" t="s">
        <v>4859</v>
      </c>
      <c r="AP620" s="12" t="str">
        <f>"154092474632496"</f>
        <v>154092474632496</v>
      </c>
      <c r="AQ620" s="12" t="s">
        <v>4858</v>
      </c>
      <c r="AR620" s="12" t="s">
        <v>4883</v>
      </c>
      <c r="AS620" s="12" t="s">
        <v>4884</v>
      </c>
      <c r="AT620" s="12"/>
      <c r="AU620" s="12" t="s">
        <v>319</v>
      </c>
      <c r="AV620" s="12"/>
      <c r="AW620" s="12"/>
      <c r="AX620" s="12">
        <v>0</v>
      </c>
      <c r="AY620" s="12">
        <v>61</v>
      </c>
      <c r="AZ620" s="12">
        <v>0</v>
      </c>
      <c r="BA620" s="12" t="s">
        <v>4885</v>
      </c>
      <c r="BB620" s="12" t="s">
        <v>6289</v>
      </c>
      <c r="BC620" s="12" t="s">
        <v>6290</v>
      </c>
      <c r="BD620" s="12"/>
      <c r="BE620" s="12" t="s">
        <v>2291</v>
      </c>
      <c r="BF620" s="12"/>
      <c r="BG620" s="12"/>
      <c r="BH620" s="12"/>
      <c r="BI620" s="12"/>
      <c r="BJ620" s="12"/>
      <c r="BK620" s="12"/>
      <c r="BL620" s="12" t="s">
        <v>2292</v>
      </c>
      <c r="BM620" s="12" t="s">
        <v>2292</v>
      </c>
      <c r="BN620" s="12" t="s">
        <v>2292</v>
      </c>
      <c r="BO620" s="12" t="s">
        <v>2291</v>
      </c>
      <c r="BP620" s="12"/>
      <c r="BQ620" s="12"/>
      <c r="BR620" s="12"/>
      <c r="BS620" s="12"/>
      <c r="BT620" s="12"/>
      <c r="BU620" s="12"/>
      <c r="BV620" s="12"/>
      <c r="BW620" s="12" t="s">
        <v>4886</v>
      </c>
      <c r="BX620" s="12"/>
      <c r="BY620" s="13" t="s">
        <v>313</v>
      </c>
      <c r="BZ620" s="13" t="s">
        <v>6171</v>
      </c>
      <c r="CA620" s="13"/>
      <c r="CB620" s="13"/>
      <c r="CC620" s="13"/>
      <c r="CD620" s="13"/>
      <c r="CE620" s="13"/>
      <c r="CF620" s="13"/>
    </row>
    <row r="621" spans="1:84" ht="18.600000000000001" customHeight="1" x14ac:dyDescent="0.25">
      <c r="A621" s="60" t="s">
        <v>228</v>
      </c>
      <c r="B621" s="2" t="s">
        <v>335</v>
      </c>
      <c r="C621" s="3" t="s">
        <v>2603</v>
      </c>
      <c r="D621" s="12" t="s">
        <v>2176</v>
      </c>
      <c r="E621" s="12" t="s">
        <v>229</v>
      </c>
      <c r="F621" s="12" t="s">
        <v>4115</v>
      </c>
      <c r="G621" s="25">
        <v>109092</v>
      </c>
      <c r="H621" s="25">
        <v>77400</v>
      </c>
      <c r="I621" s="25">
        <v>7965</v>
      </c>
      <c r="J621" s="25">
        <v>12465</v>
      </c>
      <c r="K621" s="25">
        <v>97099</v>
      </c>
      <c r="L621" s="25">
        <v>46661</v>
      </c>
      <c r="M621" s="25">
        <v>143760</v>
      </c>
      <c r="N621" s="31">
        <v>0.68</v>
      </c>
      <c r="O621" s="25">
        <v>77066</v>
      </c>
      <c r="P621" s="25">
        <v>4550</v>
      </c>
      <c r="Q621" s="25">
        <v>5116</v>
      </c>
      <c r="R621" s="25">
        <v>750</v>
      </c>
      <c r="S621" s="25">
        <v>967</v>
      </c>
      <c r="T621" s="25">
        <v>902</v>
      </c>
      <c r="U621" s="61">
        <v>3510</v>
      </c>
      <c r="V621" s="58">
        <v>1E-3</v>
      </c>
      <c r="W621" s="33">
        <v>1.1000000000000001E-3</v>
      </c>
      <c r="X621" s="33">
        <v>6.9999999999999999E-4</v>
      </c>
      <c r="Y621" s="33">
        <v>1.2999999999999999E-3</v>
      </c>
      <c r="Z621" s="33">
        <v>8.0000000000000004E-4</v>
      </c>
      <c r="AA621" s="33">
        <v>4.0000000000000002E-4</v>
      </c>
      <c r="AB621" s="25">
        <v>653</v>
      </c>
      <c r="AC621" s="25">
        <v>463</v>
      </c>
      <c r="AD621" s="25">
        <v>88</v>
      </c>
      <c r="AE621" s="25">
        <v>4</v>
      </c>
      <c r="AF621" s="25">
        <v>44</v>
      </c>
      <c r="AG621" s="25">
        <v>42</v>
      </c>
      <c r="AH621" s="25">
        <v>12</v>
      </c>
      <c r="AI621" s="12">
        <v>1.49</v>
      </c>
      <c r="AJ621" s="25">
        <v>174578</v>
      </c>
      <c r="AK621" s="25">
        <v>11753</v>
      </c>
      <c r="AL621" s="33">
        <v>7.22E-2</v>
      </c>
      <c r="AM621" s="3" t="s">
        <v>2603</v>
      </c>
      <c r="AN621" s="12" t="s">
        <v>229</v>
      </c>
      <c r="AO621" s="12" t="s">
        <v>229</v>
      </c>
      <c r="AP621" s="12" t="str">
        <f>"125578787475414"</f>
        <v>125578787475414</v>
      </c>
      <c r="AQ621" s="12" t="s">
        <v>2176</v>
      </c>
      <c r="AR621" s="12" t="s">
        <v>2177</v>
      </c>
      <c r="AS621" s="12" t="s">
        <v>2178</v>
      </c>
      <c r="AT621" s="12"/>
      <c r="AU621" s="12" t="s">
        <v>324</v>
      </c>
      <c r="AV621" s="12" t="s">
        <v>5731</v>
      </c>
      <c r="AW621" s="12">
        <v>1821</v>
      </c>
      <c r="AX621" s="12">
        <v>5895</v>
      </c>
      <c r="AY621" s="12">
        <v>1005</v>
      </c>
      <c r="AZ621" s="12">
        <v>0</v>
      </c>
      <c r="BA621" s="12" t="s">
        <v>2179</v>
      </c>
      <c r="BB621" s="12" t="s">
        <v>6683</v>
      </c>
      <c r="BC621" s="12" t="s">
        <v>6684</v>
      </c>
      <c r="BD621" s="12"/>
      <c r="BE621" s="12" t="s">
        <v>2291</v>
      </c>
      <c r="BF621" s="12"/>
      <c r="BG621" s="12"/>
      <c r="BH621" s="12"/>
      <c r="BI621" s="12" t="s">
        <v>2604</v>
      </c>
      <c r="BJ621" s="12" t="s">
        <v>2605</v>
      </c>
      <c r="BK621" s="12"/>
      <c r="BL621" s="12" t="s">
        <v>2292</v>
      </c>
      <c r="BM621" s="12" t="s">
        <v>2292</v>
      </c>
      <c r="BN621" s="12" t="s">
        <v>2292</v>
      </c>
      <c r="BO621" s="12" t="s">
        <v>2291</v>
      </c>
      <c r="BP621" s="12"/>
      <c r="BQ621" s="12"/>
      <c r="BR621" s="12"/>
      <c r="BS621" s="12"/>
      <c r="BT621" s="12" t="s">
        <v>3828</v>
      </c>
      <c r="BU621" s="12" t="s">
        <v>326</v>
      </c>
      <c r="BV621" s="12"/>
      <c r="BW621" s="12" t="s">
        <v>4574</v>
      </c>
      <c r="BX621" s="12"/>
      <c r="BY621" s="13" t="s">
        <v>313</v>
      </c>
      <c r="BZ621" s="13" t="s">
        <v>6174</v>
      </c>
      <c r="CA621" s="13"/>
      <c r="CB621" s="13"/>
      <c r="CC621" s="13"/>
      <c r="CD621" s="13"/>
      <c r="CE621" s="13"/>
      <c r="CF621" s="13"/>
    </row>
    <row r="622" spans="1:84" ht="18.600000000000001" customHeight="1" x14ac:dyDescent="0.25">
      <c r="A622" s="60" t="s">
        <v>230</v>
      </c>
      <c r="B622" s="2" t="s">
        <v>5638</v>
      </c>
      <c r="C622" s="4" t="s">
        <v>5639</v>
      </c>
      <c r="D622" s="12" t="s">
        <v>5673</v>
      </c>
      <c r="E622" s="12" t="s">
        <v>7253</v>
      </c>
      <c r="F622" s="12" t="s">
        <v>5675</v>
      </c>
      <c r="G622" s="25">
        <v>4167371</v>
      </c>
      <c r="H622" s="25">
        <v>2676032</v>
      </c>
      <c r="I622" s="25">
        <v>511911</v>
      </c>
      <c r="J622" s="25">
        <v>341604</v>
      </c>
      <c r="K622" s="25">
        <v>22165140</v>
      </c>
      <c r="L622" s="25">
        <v>8270328</v>
      </c>
      <c r="M622" s="25">
        <v>30435468</v>
      </c>
      <c r="N622" s="31">
        <v>0.73</v>
      </c>
      <c r="O622" s="25">
        <v>379791</v>
      </c>
      <c r="P622" s="25">
        <v>2185824</v>
      </c>
      <c r="Q622" s="25">
        <v>465169</v>
      </c>
      <c r="R622" s="25">
        <v>5655</v>
      </c>
      <c r="S622" s="25">
        <v>125620</v>
      </c>
      <c r="T622" s="25">
        <v>7864</v>
      </c>
      <c r="U622" s="61">
        <v>31847</v>
      </c>
      <c r="V622" s="58">
        <v>1.46E-2</v>
      </c>
      <c r="W622" s="33">
        <v>1.6899999999999998E-2</v>
      </c>
      <c r="X622" s="33">
        <v>6.1999999999999998E-3</v>
      </c>
      <c r="Y622" s="33">
        <v>1.03E-2</v>
      </c>
      <c r="Z622" s="33">
        <v>1.4200000000000001E-2</v>
      </c>
      <c r="AA622" s="33">
        <v>2.5000000000000001E-3</v>
      </c>
      <c r="AB622" s="25">
        <v>798</v>
      </c>
      <c r="AC622" s="25">
        <v>260</v>
      </c>
      <c r="AD622" s="25">
        <v>15</v>
      </c>
      <c r="AE622" s="25">
        <v>10</v>
      </c>
      <c r="AF622" s="25">
        <v>492</v>
      </c>
      <c r="AG622" s="25">
        <v>18</v>
      </c>
      <c r="AH622" s="25">
        <v>3</v>
      </c>
      <c r="AI622" s="12">
        <v>1.82</v>
      </c>
      <c r="AJ622" s="25">
        <v>470880</v>
      </c>
      <c r="AK622" s="25">
        <v>233474</v>
      </c>
      <c r="AL622" s="33">
        <v>0.98340000000000005</v>
      </c>
      <c r="AM622" s="4" t="s">
        <v>5639</v>
      </c>
      <c r="AN622" s="12" t="s">
        <v>5674</v>
      </c>
      <c r="AO622" s="12" t="s">
        <v>7253</v>
      </c>
      <c r="AP622" s="12" t="str">
        <f>"553775568008058"</f>
        <v>553775568008058</v>
      </c>
      <c r="AQ622" s="12" t="s">
        <v>5673</v>
      </c>
      <c r="AR622" s="12" t="s">
        <v>6018</v>
      </c>
      <c r="AS622" s="12" t="s">
        <v>6019</v>
      </c>
      <c r="AT622" s="12"/>
      <c r="AU622" s="12" t="s">
        <v>309</v>
      </c>
      <c r="AV622" s="12"/>
      <c r="AW622" s="12"/>
      <c r="AX622" s="12">
        <v>0</v>
      </c>
      <c r="AY622" s="12">
        <v>91299</v>
      </c>
      <c r="AZ622" s="12">
        <v>0</v>
      </c>
      <c r="BA622" s="12" t="s">
        <v>7254</v>
      </c>
      <c r="BB622" s="12" t="s">
        <v>6020</v>
      </c>
      <c r="BC622" s="12" t="s">
        <v>7255</v>
      </c>
      <c r="BD622" s="12"/>
      <c r="BE622" s="12" t="s">
        <v>2291</v>
      </c>
      <c r="BF622" s="12"/>
      <c r="BG622" s="12"/>
      <c r="BH622" s="12"/>
      <c r="BI622" s="12"/>
      <c r="BJ622" s="12"/>
      <c r="BK622" s="12"/>
      <c r="BL622" s="12" t="s">
        <v>2292</v>
      </c>
      <c r="BM622" s="12" t="s">
        <v>2292</v>
      </c>
      <c r="BN622" s="12" t="s">
        <v>2292</v>
      </c>
      <c r="BO622" s="12" t="s">
        <v>2291</v>
      </c>
      <c r="BP622" s="12"/>
      <c r="BQ622" s="12"/>
      <c r="BR622" s="12"/>
      <c r="BS622" s="12"/>
      <c r="BT622" s="12"/>
      <c r="BU622" s="12"/>
      <c r="BV622" s="12"/>
      <c r="BW622" s="12" t="s">
        <v>3819</v>
      </c>
      <c r="BX622" s="12"/>
      <c r="BY622" s="13" t="s">
        <v>313</v>
      </c>
      <c r="BZ622" s="13" t="s">
        <v>312</v>
      </c>
      <c r="CA622" s="13"/>
      <c r="CB622" s="13"/>
      <c r="CC622" s="13"/>
      <c r="CD622" s="13"/>
      <c r="CE622" s="13"/>
      <c r="CF622" s="13"/>
    </row>
    <row r="623" spans="1:84" ht="18.600000000000001" customHeight="1" x14ac:dyDescent="0.25">
      <c r="A623" s="35" t="s">
        <v>230</v>
      </c>
      <c r="B623" s="13" t="s">
        <v>315</v>
      </c>
      <c r="C623" s="3" t="s">
        <v>2978</v>
      </c>
      <c r="D623" s="12" t="s">
        <v>4709</v>
      </c>
      <c r="E623" s="12" t="s">
        <v>2186</v>
      </c>
      <c r="F623" s="12" t="s">
        <v>4354</v>
      </c>
      <c r="G623" s="25">
        <v>68220</v>
      </c>
      <c r="H623" s="25">
        <v>40416</v>
      </c>
      <c r="I623" s="25">
        <v>4115</v>
      </c>
      <c r="J623" s="25">
        <v>18015</v>
      </c>
      <c r="K623" s="25">
        <v>73703</v>
      </c>
      <c r="L623" s="25">
        <v>24138</v>
      </c>
      <c r="M623" s="25">
        <v>97841</v>
      </c>
      <c r="N623" s="31">
        <v>0.75</v>
      </c>
      <c r="O623" s="25">
        <v>40336</v>
      </c>
      <c r="P623" s="25">
        <v>169</v>
      </c>
      <c r="Q623" s="25">
        <v>4232</v>
      </c>
      <c r="R623" s="25">
        <v>351</v>
      </c>
      <c r="S623" s="25">
        <v>498</v>
      </c>
      <c r="T623" s="25">
        <v>139</v>
      </c>
      <c r="U623" s="61">
        <v>413</v>
      </c>
      <c r="V623" s="58">
        <v>8.9999999999999998E-4</v>
      </c>
      <c r="W623" s="33">
        <v>5.9999999999999995E-4</v>
      </c>
      <c r="X623" s="33">
        <v>1.4E-3</v>
      </c>
      <c r="Y623" s="33">
        <v>4.0000000000000002E-4</v>
      </c>
      <c r="Z623" s="33">
        <v>5.9999999999999995E-4</v>
      </c>
      <c r="AA623" s="33">
        <v>5.1700000000000003E-2</v>
      </c>
      <c r="AB623" s="25">
        <v>1223</v>
      </c>
      <c r="AC623" s="25">
        <v>767</v>
      </c>
      <c r="AD623" s="25">
        <v>177</v>
      </c>
      <c r="AE623" s="25">
        <v>2</v>
      </c>
      <c r="AF623" s="25">
        <v>185</v>
      </c>
      <c r="AG623" s="25">
        <v>85</v>
      </c>
      <c r="AH623" s="25">
        <v>7</v>
      </c>
      <c r="AI623" s="12">
        <v>2.79</v>
      </c>
      <c r="AJ623" s="25">
        <v>64530</v>
      </c>
      <c r="AK623" s="25">
        <v>21533</v>
      </c>
      <c r="AL623" s="33">
        <v>0.50080000000000002</v>
      </c>
      <c r="AM623" s="3" t="s">
        <v>2978</v>
      </c>
      <c r="AN623" s="12" t="s">
        <v>2186</v>
      </c>
      <c r="AO623" s="12" t="s">
        <v>2186</v>
      </c>
      <c r="AP623" s="12" t="str">
        <f>"342958192219"</f>
        <v>342958192219</v>
      </c>
      <c r="AQ623" s="12" t="s">
        <v>4709</v>
      </c>
      <c r="AR623" s="12" t="s">
        <v>2187</v>
      </c>
      <c r="AS623" s="12" t="s">
        <v>2188</v>
      </c>
      <c r="AT623" s="12"/>
      <c r="AU623" s="12" t="s">
        <v>324</v>
      </c>
      <c r="AV623" s="12"/>
      <c r="AW623" s="12" t="s">
        <v>2189</v>
      </c>
      <c r="AX623" s="12">
        <v>0</v>
      </c>
      <c r="AY623" s="12">
        <v>1253</v>
      </c>
      <c r="AZ623" s="12">
        <v>0</v>
      </c>
      <c r="BA623" s="12" t="s">
        <v>2190</v>
      </c>
      <c r="BB623" s="12"/>
      <c r="BC623" s="12" t="s">
        <v>7220</v>
      </c>
      <c r="BD623" s="12"/>
      <c r="BE623" s="12" t="s">
        <v>2291</v>
      </c>
      <c r="BF623" s="12" t="s">
        <v>2979</v>
      </c>
      <c r="BG623" s="12"/>
      <c r="BH623" s="12"/>
      <c r="BI623" s="12" t="s">
        <v>2980</v>
      </c>
      <c r="BJ623" s="12" t="s">
        <v>2981</v>
      </c>
      <c r="BK623" s="12"/>
      <c r="BL623" s="12" t="s">
        <v>2292</v>
      </c>
      <c r="BM623" s="12" t="s">
        <v>2292</v>
      </c>
      <c r="BN623" s="12" t="s">
        <v>2292</v>
      </c>
      <c r="BO623" s="12" t="s">
        <v>2291</v>
      </c>
      <c r="BP623" s="12"/>
      <c r="BQ623" s="12"/>
      <c r="BR623" s="12"/>
      <c r="BS623" s="12"/>
      <c r="BT623" s="12"/>
      <c r="BU623" s="12"/>
      <c r="BV623" s="12"/>
      <c r="BW623" s="12"/>
      <c r="BX623" s="12"/>
      <c r="BY623" s="13" t="s">
        <v>313</v>
      </c>
      <c r="BZ623" s="13" t="s">
        <v>6172</v>
      </c>
      <c r="CA623" s="13"/>
      <c r="CB623" s="13"/>
      <c r="CC623" s="13"/>
      <c r="CD623" s="13"/>
      <c r="CE623" s="13"/>
      <c r="CF623" s="13"/>
    </row>
    <row r="624" spans="1:84" ht="18.600000000000001" customHeight="1" x14ac:dyDescent="0.25">
      <c r="A624" s="60" t="s">
        <v>230</v>
      </c>
      <c r="B624" s="2" t="s">
        <v>315</v>
      </c>
      <c r="C624" s="3" t="s">
        <v>2528</v>
      </c>
      <c r="D624" s="12" t="s">
        <v>2191</v>
      </c>
      <c r="E624" s="12" t="s">
        <v>2192</v>
      </c>
      <c r="F624" s="12" t="s">
        <v>4074</v>
      </c>
      <c r="G624" s="25">
        <v>499301</v>
      </c>
      <c r="H624" s="25">
        <v>256332</v>
      </c>
      <c r="I624" s="25">
        <v>43648</v>
      </c>
      <c r="J624" s="25">
        <v>133825</v>
      </c>
      <c r="K624" s="25">
        <v>14622823</v>
      </c>
      <c r="L624" s="25">
        <v>1746991</v>
      </c>
      <c r="M624" s="25">
        <v>16369814</v>
      </c>
      <c r="N624" s="31">
        <v>0.89</v>
      </c>
      <c r="O624" s="25">
        <v>92238</v>
      </c>
      <c r="P624" s="25">
        <v>18143</v>
      </c>
      <c r="Q624" s="25">
        <v>43756</v>
      </c>
      <c r="R624" s="25">
        <v>2374</v>
      </c>
      <c r="S624" s="25">
        <v>9985</v>
      </c>
      <c r="T624" s="25">
        <v>1919</v>
      </c>
      <c r="U624" s="61">
        <v>7384</v>
      </c>
      <c r="V624" s="58">
        <v>1.6000000000000001E-3</v>
      </c>
      <c r="W624" s="33">
        <v>8.9999999999999998E-4</v>
      </c>
      <c r="X624" s="33">
        <v>8.0000000000000004E-4</v>
      </c>
      <c r="Y624" s="12" t="s">
        <v>3926</v>
      </c>
      <c r="Z624" s="33">
        <v>2.8E-3</v>
      </c>
      <c r="AA624" s="33">
        <v>5.9999999999999995E-4</v>
      </c>
      <c r="AB624" s="25">
        <v>1432</v>
      </c>
      <c r="AC624" s="25">
        <v>800</v>
      </c>
      <c r="AD624" s="25">
        <v>152</v>
      </c>
      <c r="AE624" s="25">
        <v>0</v>
      </c>
      <c r="AF624" s="25">
        <v>437</v>
      </c>
      <c r="AG624" s="25">
        <v>26</v>
      </c>
      <c r="AH624" s="25">
        <v>17</v>
      </c>
      <c r="AI624" s="12">
        <v>3.26</v>
      </c>
      <c r="AJ624" s="25">
        <v>254819</v>
      </c>
      <c r="AK624" s="25">
        <v>72132</v>
      </c>
      <c r="AL624" s="33">
        <v>0.39479999999999998</v>
      </c>
      <c r="AM624" s="3" t="s">
        <v>2528</v>
      </c>
      <c r="AN624" s="12" t="s">
        <v>2192</v>
      </c>
      <c r="AO624" s="12" t="s">
        <v>2192</v>
      </c>
      <c r="AP624" s="12" t="str">
        <f>"114405611929952"</f>
        <v>114405611929952</v>
      </c>
      <c r="AQ624" s="12" t="s">
        <v>2191</v>
      </c>
      <c r="AR624" s="12" t="s">
        <v>3572</v>
      </c>
      <c r="AS624" s="12" t="s">
        <v>4562</v>
      </c>
      <c r="AT624" s="12"/>
      <c r="AU624" s="12" t="s">
        <v>1111</v>
      </c>
      <c r="AV624" s="12"/>
      <c r="AW624" s="12"/>
      <c r="AX624" s="12">
        <v>0</v>
      </c>
      <c r="AY624" s="12">
        <v>26209</v>
      </c>
      <c r="AZ624" s="12">
        <v>0</v>
      </c>
      <c r="BA624" s="12" t="s">
        <v>2193</v>
      </c>
      <c r="BB624" s="12"/>
      <c r="BC624" s="12" t="s">
        <v>6594</v>
      </c>
      <c r="BD624" s="12"/>
      <c r="BE624" s="12" t="s">
        <v>2291</v>
      </c>
      <c r="BF624" s="12"/>
      <c r="BG624" s="12"/>
      <c r="BH624" s="12"/>
      <c r="BI624" s="12" t="s">
        <v>5297</v>
      </c>
      <c r="BJ624" s="12"/>
      <c r="BK624" s="12"/>
      <c r="BL624" s="12" t="s">
        <v>2292</v>
      </c>
      <c r="BM624" s="12" t="s">
        <v>2292</v>
      </c>
      <c r="BN624" s="12" t="s">
        <v>2292</v>
      </c>
      <c r="BO624" s="12" t="s">
        <v>2291</v>
      </c>
      <c r="BP624" s="12"/>
      <c r="BQ624" s="12"/>
      <c r="BR624" s="12"/>
      <c r="BS624" s="12"/>
      <c r="BT624" s="12"/>
      <c r="BU624" s="12"/>
      <c r="BV624" s="12"/>
      <c r="BW624" s="12"/>
      <c r="BX624" s="12"/>
      <c r="BY624" s="13" t="s">
        <v>313</v>
      </c>
      <c r="BZ624" s="13" t="s">
        <v>6172</v>
      </c>
      <c r="CA624" s="13"/>
      <c r="CB624" s="13"/>
      <c r="CC624" s="13"/>
      <c r="CD624" s="13"/>
      <c r="CE624" s="13" t="s">
        <v>6175</v>
      </c>
      <c r="CF624" s="13"/>
    </row>
    <row r="625" spans="1:84" ht="18.600000000000001" customHeight="1" x14ac:dyDescent="0.25">
      <c r="A625" s="60" t="s">
        <v>230</v>
      </c>
      <c r="B625" s="2" t="s">
        <v>335</v>
      </c>
      <c r="C625" s="3" t="s">
        <v>6222</v>
      </c>
      <c r="D625" s="12" t="s">
        <v>2194</v>
      </c>
      <c r="E625" s="12" t="s">
        <v>6909</v>
      </c>
      <c r="F625" s="12" t="s">
        <v>7426</v>
      </c>
      <c r="G625" s="25">
        <v>5523</v>
      </c>
      <c r="H625" s="25">
        <v>2643</v>
      </c>
      <c r="I625" s="25">
        <v>208</v>
      </c>
      <c r="J625" s="25">
        <v>2377</v>
      </c>
      <c r="K625" s="25">
        <v>12463</v>
      </c>
      <c r="L625" s="25">
        <v>27147</v>
      </c>
      <c r="M625" s="25">
        <v>39610</v>
      </c>
      <c r="N625" s="31">
        <v>0.31</v>
      </c>
      <c r="O625" s="25">
        <v>1107</v>
      </c>
      <c r="P625" s="25">
        <v>479</v>
      </c>
      <c r="Q625" s="25">
        <v>256</v>
      </c>
      <c r="R625" s="25">
        <v>5</v>
      </c>
      <c r="S625" s="25">
        <v>11</v>
      </c>
      <c r="T625" s="25">
        <v>6</v>
      </c>
      <c r="U625" s="61">
        <v>17</v>
      </c>
      <c r="V625" s="58">
        <v>7.3000000000000001E-3</v>
      </c>
      <c r="W625" s="33">
        <v>7.0000000000000001E-3</v>
      </c>
      <c r="X625" s="33">
        <v>0</v>
      </c>
      <c r="Y625" s="12" t="s">
        <v>3926</v>
      </c>
      <c r="Z625" s="33">
        <v>8.0999999999999996E-3</v>
      </c>
      <c r="AA625" s="33">
        <v>1.6000000000000001E-3</v>
      </c>
      <c r="AB625" s="25">
        <v>570</v>
      </c>
      <c r="AC625" s="25">
        <v>375</v>
      </c>
      <c r="AD625" s="25">
        <v>8</v>
      </c>
      <c r="AE625" s="25">
        <v>0</v>
      </c>
      <c r="AF625" s="25">
        <v>159</v>
      </c>
      <c r="AG625" s="25">
        <v>19</v>
      </c>
      <c r="AH625" s="25">
        <v>9</v>
      </c>
      <c r="AI625" s="12">
        <v>1.3</v>
      </c>
      <c r="AJ625" s="25">
        <v>1433</v>
      </c>
      <c r="AK625" s="25">
        <v>0</v>
      </c>
      <c r="AL625" s="31">
        <v>0</v>
      </c>
      <c r="AM625" s="3" t="s">
        <v>6222</v>
      </c>
      <c r="AN625" s="12" t="s">
        <v>6909</v>
      </c>
      <c r="AO625" s="12" t="s">
        <v>6909</v>
      </c>
      <c r="AP625" s="12" t="str">
        <f>"268017413623132"</f>
        <v>268017413623132</v>
      </c>
      <c r="AQ625" s="12" t="s">
        <v>2194</v>
      </c>
      <c r="AR625" s="12" t="s">
        <v>6910</v>
      </c>
      <c r="AS625" s="12" t="s">
        <v>6911</v>
      </c>
      <c r="AT625" s="12"/>
      <c r="AU625" s="12" t="s">
        <v>324</v>
      </c>
      <c r="AV625" s="12" t="s">
        <v>5731</v>
      </c>
      <c r="AW625" s="12"/>
      <c r="AX625" s="12">
        <v>18</v>
      </c>
      <c r="AY625" s="12">
        <v>167</v>
      </c>
      <c r="AZ625" s="12">
        <v>18</v>
      </c>
      <c r="BA625" s="12" t="s">
        <v>6912</v>
      </c>
      <c r="BB625" s="12" t="s">
        <v>6913</v>
      </c>
      <c r="BC625" s="12" t="s">
        <v>6914</v>
      </c>
      <c r="BD625" s="12"/>
      <c r="BE625" s="12" t="s">
        <v>2291</v>
      </c>
      <c r="BF625" s="12"/>
      <c r="BG625" s="12"/>
      <c r="BH625" s="12"/>
      <c r="BI625" s="12" t="s">
        <v>6915</v>
      </c>
      <c r="BJ625" s="12"/>
      <c r="BK625" s="12" t="s">
        <v>6581</v>
      </c>
      <c r="BL625" s="12" t="s">
        <v>2292</v>
      </c>
      <c r="BM625" s="12" t="s">
        <v>2292</v>
      </c>
      <c r="BN625" s="12" t="s">
        <v>2292</v>
      </c>
      <c r="BO625" s="12" t="s">
        <v>2291</v>
      </c>
      <c r="BP625" s="12"/>
      <c r="BQ625" s="12"/>
      <c r="BR625" s="12"/>
      <c r="BS625" s="12"/>
      <c r="BT625" s="12"/>
      <c r="BU625" s="12" t="s">
        <v>326</v>
      </c>
      <c r="BV625" s="12"/>
      <c r="BW625" s="12" t="s">
        <v>3819</v>
      </c>
      <c r="BX625" s="12"/>
      <c r="BY625" s="2"/>
      <c r="BZ625" s="13" t="s">
        <v>6174</v>
      </c>
      <c r="CA625" s="13"/>
      <c r="CB625" s="13"/>
      <c r="CC625" s="13"/>
      <c r="CD625" s="13"/>
      <c r="CE625" s="13"/>
      <c r="CF625" s="13" t="s">
        <v>6178</v>
      </c>
    </row>
    <row r="626" spans="1:84" ht="18.600000000000001" customHeight="1" x14ac:dyDescent="0.25">
      <c r="A626" s="60" t="s">
        <v>231</v>
      </c>
      <c r="B626" s="2" t="s">
        <v>2199</v>
      </c>
      <c r="C626" s="3" t="s">
        <v>2617</v>
      </c>
      <c r="D626" s="12" t="s">
        <v>2196</v>
      </c>
      <c r="E626" s="12" t="s">
        <v>2195</v>
      </c>
      <c r="F626" s="12" t="s">
        <v>4121</v>
      </c>
      <c r="G626" s="25">
        <v>1254945</v>
      </c>
      <c r="H626" s="25">
        <v>658801</v>
      </c>
      <c r="I626" s="25">
        <v>285917</v>
      </c>
      <c r="J626" s="25">
        <v>116994</v>
      </c>
      <c r="K626" s="25">
        <v>7982416</v>
      </c>
      <c r="L626" s="25">
        <v>3038098</v>
      </c>
      <c r="M626" s="25">
        <v>11020514</v>
      </c>
      <c r="N626" s="31">
        <v>0.72</v>
      </c>
      <c r="O626" s="25">
        <v>22372</v>
      </c>
      <c r="P626" s="25">
        <v>2324040</v>
      </c>
      <c r="Q626" s="25">
        <v>87653</v>
      </c>
      <c r="R626" s="25">
        <v>3176</v>
      </c>
      <c r="S626" s="25">
        <v>25440</v>
      </c>
      <c r="T626" s="25">
        <v>7167</v>
      </c>
      <c r="U626" s="61">
        <v>68879</v>
      </c>
      <c r="V626" s="58">
        <v>1.6000000000000001E-3</v>
      </c>
      <c r="W626" s="33">
        <v>1.9E-3</v>
      </c>
      <c r="X626" s="33">
        <v>1.2999999999999999E-3</v>
      </c>
      <c r="Y626" s="12" t="s">
        <v>3926</v>
      </c>
      <c r="Z626" s="33">
        <v>1.5E-3</v>
      </c>
      <c r="AA626" s="33">
        <v>1E-3</v>
      </c>
      <c r="AB626" s="25">
        <v>734</v>
      </c>
      <c r="AC626" s="25">
        <v>197</v>
      </c>
      <c r="AD626" s="25">
        <v>28</v>
      </c>
      <c r="AE626" s="25">
        <v>0</v>
      </c>
      <c r="AF626" s="25">
        <v>500</v>
      </c>
      <c r="AG626" s="25">
        <v>5</v>
      </c>
      <c r="AH626" s="25">
        <v>4</v>
      </c>
      <c r="AI626" s="12">
        <v>1.67</v>
      </c>
      <c r="AJ626" s="25">
        <v>1070579</v>
      </c>
      <c r="AK626" s="25">
        <v>13622</v>
      </c>
      <c r="AL626" s="33">
        <v>1.29E-2</v>
      </c>
      <c r="AM626" s="3" t="s">
        <v>2617</v>
      </c>
      <c r="AN626" s="12" t="s">
        <v>2195</v>
      </c>
      <c r="AO626" s="12" t="s">
        <v>2195</v>
      </c>
      <c r="AP626" s="12" t="str">
        <f>"330825443903"</f>
        <v>330825443903</v>
      </c>
      <c r="AQ626" s="12" t="s">
        <v>2196</v>
      </c>
      <c r="AR626" s="12" t="s">
        <v>2197</v>
      </c>
      <c r="AS626" s="12" t="s">
        <v>3202</v>
      </c>
      <c r="AT626" s="12"/>
      <c r="AU626" s="12" t="s">
        <v>309</v>
      </c>
      <c r="AV626" s="12"/>
      <c r="AW626" s="12"/>
      <c r="AX626" s="12">
        <v>0</v>
      </c>
      <c r="AY626" s="12">
        <v>5209</v>
      </c>
      <c r="AZ626" s="12">
        <v>0</v>
      </c>
      <c r="BA626" s="12" t="s">
        <v>2198</v>
      </c>
      <c r="BB626" s="12"/>
      <c r="BC626" s="12" t="s">
        <v>6697</v>
      </c>
      <c r="BD626" s="12"/>
      <c r="BE626" s="12" t="s">
        <v>2291</v>
      </c>
      <c r="BF626" s="12"/>
      <c r="BG626" s="12"/>
      <c r="BH626" s="12"/>
      <c r="BI626" s="12"/>
      <c r="BJ626" s="12"/>
      <c r="BK626" s="12"/>
      <c r="BL626" s="12" t="s">
        <v>2292</v>
      </c>
      <c r="BM626" s="12" t="s">
        <v>2292</v>
      </c>
      <c r="BN626" s="12" t="s">
        <v>2292</v>
      </c>
      <c r="BO626" s="12" t="s">
        <v>2291</v>
      </c>
      <c r="BP626" s="12"/>
      <c r="BQ626" s="12"/>
      <c r="BR626" s="12"/>
      <c r="BS626" s="12"/>
      <c r="BT626" s="12"/>
      <c r="BU626" s="12"/>
      <c r="BV626" s="12"/>
      <c r="BW626" s="12"/>
      <c r="BX626" s="12"/>
      <c r="BY626" s="13" t="s">
        <v>313</v>
      </c>
      <c r="BZ626" s="13" t="s">
        <v>6186</v>
      </c>
      <c r="CA626" s="13" t="s">
        <v>6170</v>
      </c>
      <c r="CB626" s="13" t="s">
        <v>6201</v>
      </c>
      <c r="CC626" s="13"/>
      <c r="CD626" s="13" t="s">
        <v>6198</v>
      </c>
      <c r="CE626" s="13"/>
      <c r="CF626" s="13"/>
    </row>
    <row r="627" spans="1:84" ht="18.600000000000001" customHeight="1" x14ac:dyDescent="0.25">
      <c r="A627" s="60" t="s">
        <v>231</v>
      </c>
      <c r="B627" s="2" t="s">
        <v>314</v>
      </c>
      <c r="C627" s="3" t="s">
        <v>2881</v>
      </c>
      <c r="D627" s="12" t="s">
        <v>2201</v>
      </c>
      <c r="E627" s="12" t="s">
        <v>2200</v>
      </c>
      <c r="F627" s="12" t="s">
        <v>4294</v>
      </c>
      <c r="G627" s="25">
        <v>436033</v>
      </c>
      <c r="H627" s="25">
        <v>219766</v>
      </c>
      <c r="I627" s="25">
        <v>85120</v>
      </c>
      <c r="J627" s="25">
        <v>70542</v>
      </c>
      <c r="K627" s="25">
        <v>11581326</v>
      </c>
      <c r="L627" s="25">
        <v>1389287</v>
      </c>
      <c r="M627" s="25">
        <v>12970613</v>
      </c>
      <c r="N627" s="31">
        <v>0.89</v>
      </c>
      <c r="O627" s="25">
        <v>200366</v>
      </c>
      <c r="P627" s="25">
        <v>1579566</v>
      </c>
      <c r="Q627" s="25">
        <v>26554</v>
      </c>
      <c r="R627" s="25">
        <v>1262</v>
      </c>
      <c r="S627" s="25">
        <v>11016</v>
      </c>
      <c r="T627" s="25">
        <v>1498</v>
      </c>
      <c r="U627" s="61">
        <v>20230</v>
      </c>
      <c r="V627" s="58">
        <v>8.9999999999999998E-4</v>
      </c>
      <c r="W627" s="33">
        <v>8.9999999999999998E-4</v>
      </c>
      <c r="X627" s="33">
        <v>4.0000000000000002E-4</v>
      </c>
      <c r="Y627" s="12" t="s">
        <v>3926</v>
      </c>
      <c r="Z627" s="33">
        <v>1E-3</v>
      </c>
      <c r="AA627" s="33">
        <v>2.0000000000000001E-4</v>
      </c>
      <c r="AB627" s="25">
        <v>1055</v>
      </c>
      <c r="AC627" s="25">
        <v>194</v>
      </c>
      <c r="AD627" s="25">
        <v>52</v>
      </c>
      <c r="AE627" s="25">
        <v>0</v>
      </c>
      <c r="AF627" s="25">
        <v>723</v>
      </c>
      <c r="AG627" s="25">
        <v>68</v>
      </c>
      <c r="AH627" s="25">
        <v>18</v>
      </c>
      <c r="AI627" s="12">
        <v>2.4</v>
      </c>
      <c r="AJ627" s="25">
        <v>480084</v>
      </c>
      <c r="AK627" s="25">
        <v>23232</v>
      </c>
      <c r="AL627" s="33">
        <v>5.0900000000000001E-2</v>
      </c>
      <c r="AM627" s="3" t="s">
        <v>2881</v>
      </c>
      <c r="AN627" s="12" t="s">
        <v>2200</v>
      </c>
      <c r="AO627" s="12" t="s">
        <v>2200</v>
      </c>
      <c r="AP627" s="12" t="str">
        <f>"186850511364615"</f>
        <v>186850511364615</v>
      </c>
      <c r="AQ627" s="12" t="s">
        <v>2201</v>
      </c>
      <c r="AR627" s="12" t="s">
        <v>2202</v>
      </c>
      <c r="AS627" s="12" t="s">
        <v>2203</v>
      </c>
      <c r="AT627" s="12"/>
      <c r="AU627" s="12" t="s">
        <v>324</v>
      </c>
      <c r="AV627" s="12"/>
      <c r="AW627" s="12"/>
      <c r="AX627" s="12">
        <v>0</v>
      </c>
      <c r="AY627" s="12">
        <v>2127</v>
      </c>
      <c r="AZ627" s="12">
        <v>0</v>
      </c>
      <c r="BA627" s="12" t="s">
        <v>2204</v>
      </c>
      <c r="BB627" s="12" t="s">
        <v>5983</v>
      </c>
      <c r="BC627" s="12" t="s">
        <v>7086</v>
      </c>
      <c r="BD627" s="12"/>
      <c r="BE627" s="12" t="s">
        <v>2291</v>
      </c>
      <c r="BF627" s="12"/>
      <c r="BG627" s="12"/>
      <c r="BH627" s="12"/>
      <c r="BI627" s="12"/>
      <c r="BJ627" s="12" t="s">
        <v>2882</v>
      </c>
      <c r="BK627" s="12"/>
      <c r="BL627" s="12" t="s">
        <v>2292</v>
      </c>
      <c r="BM627" s="12" t="s">
        <v>2292</v>
      </c>
      <c r="BN627" s="12" t="s">
        <v>2292</v>
      </c>
      <c r="BO627" s="12" t="s">
        <v>2291</v>
      </c>
      <c r="BP627" s="12"/>
      <c r="BQ627" s="12"/>
      <c r="BR627" s="12"/>
      <c r="BS627" s="12"/>
      <c r="BT627" s="12" t="s">
        <v>2205</v>
      </c>
      <c r="BU627" s="12"/>
      <c r="BV627" s="12"/>
      <c r="BW627" s="12" t="s">
        <v>2206</v>
      </c>
      <c r="BX627" s="12"/>
      <c r="BY627" s="13" t="s">
        <v>313</v>
      </c>
      <c r="BZ627" s="13" t="s">
        <v>6170</v>
      </c>
      <c r="CA627" s="13" t="s">
        <v>6170</v>
      </c>
      <c r="CB627" s="13" t="s">
        <v>312</v>
      </c>
      <c r="CC627" s="13"/>
      <c r="CD627" s="13" t="s">
        <v>6198</v>
      </c>
      <c r="CE627" s="13"/>
      <c r="CF627" s="13"/>
    </row>
    <row r="628" spans="1:84" ht="18.600000000000001" customHeight="1" x14ac:dyDescent="0.25">
      <c r="A628" s="60" t="s">
        <v>231</v>
      </c>
      <c r="B628" s="2" t="s">
        <v>335</v>
      </c>
      <c r="C628" s="3" t="s">
        <v>2379</v>
      </c>
      <c r="D628" s="12" t="s">
        <v>2207</v>
      </c>
      <c r="E628" s="12" t="s">
        <v>232</v>
      </c>
      <c r="F628" s="12" t="s">
        <v>3983</v>
      </c>
      <c r="G628" s="25">
        <v>41896</v>
      </c>
      <c r="H628" s="25">
        <v>21730</v>
      </c>
      <c r="I628" s="25">
        <v>2597</v>
      </c>
      <c r="J628" s="25">
        <v>15292</v>
      </c>
      <c r="K628" s="25">
        <v>60747</v>
      </c>
      <c r="L628" s="25">
        <v>42084</v>
      </c>
      <c r="M628" s="25">
        <v>102831</v>
      </c>
      <c r="N628" s="31">
        <v>0.59</v>
      </c>
      <c r="O628" s="25">
        <v>14082</v>
      </c>
      <c r="P628" s="25">
        <v>6024</v>
      </c>
      <c r="Q628" s="25">
        <v>1774</v>
      </c>
      <c r="R628" s="25">
        <v>167</v>
      </c>
      <c r="S628" s="25">
        <v>88</v>
      </c>
      <c r="T628" s="25">
        <v>102</v>
      </c>
      <c r="U628" s="61">
        <v>143</v>
      </c>
      <c r="V628" s="58">
        <v>2.9999999999999997E-4</v>
      </c>
      <c r="W628" s="33">
        <v>2.9999999999999997E-4</v>
      </c>
      <c r="X628" s="33">
        <v>2.0000000000000001E-4</v>
      </c>
      <c r="Y628" s="33">
        <v>1E-4</v>
      </c>
      <c r="Z628" s="33">
        <v>1E-3</v>
      </c>
      <c r="AA628" s="33">
        <v>2.9999999999999997E-4</v>
      </c>
      <c r="AB628" s="25">
        <v>4916</v>
      </c>
      <c r="AC628" s="25">
        <v>3410</v>
      </c>
      <c r="AD628" s="25">
        <v>1127</v>
      </c>
      <c r="AE628" s="25">
        <v>106</v>
      </c>
      <c r="AF628" s="25">
        <v>158</v>
      </c>
      <c r="AG628" s="25">
        <v>80</v>
      </c>
      <c r="AH628" s="25">
        <v>35</v>
      </c>
      <c r="AI628" s="12">
        <v>11.2</v>
      </c>
      <c r="AJ628" s="25">
        <v>35589</v>
      </c>
      <c r="AK628" s="25">
        <v>12795</v>
      </c>
      <c r="AL628" s="33">
        <v>0.56130000000000002</v>
      </c>
      <c r="AM628" s="3" t="s">
        <v>2379</v>
      </c>
      <c r="AN628" s="12" t="s">
        <v>232</v>
      </c>
      <c r="AO628" s="12" t="s">
        <v>232</v>
      </c>
      <c r="AP628" s="12" t="str">
        <f>"594700783880121"</f>
        <v>594700783880121</v>
      </c>
      <c r="AQ628" s="12" t="s">
        <v>2207</v>
      </c>
      <c r="AR628" s="12" t="s">
        <v>2208</v>
      </c>
      <c r="AS628" s="12" t="s">
        <v>2209</v>
      </c>
      <c r="AT628" s="12"/>
      <c r="AU628" s="12" t="s">
        <v>324</v>
      </c>
      <c r="AV628" s="12" t="s">
        <v>5769</v>
      </c>
      <c r="AW628" s="12"/>
      <c r="AX628" s="12">
        <v>1879</v>
      </c>
      <c r="AY628" s="12">
        <v>982</v>
      </c>
      <c r="AZ628" s="12">
        <v>0</v>
      </c>
      <c r="BA628" s="12" t="s">
        <v>2210</v>
      </c>
      <c r="BB628" s="12" t="s">
        <v>6388</v>
      </c>
      <c r="BC628" s="12" t="s">
        <v>6389</v>
      </c>
      <c r="BD628" s="12"/>
      <c r="BE628" s="12" t="s">
        <v>2291</v>
      </c>
      <c r="BF628" s="12"/>
      <c r="BG628" s="12"/>
      <c r="BH628" s="12"/>
      <c r="BI628" s="12" t="s">
        <v>2211</v>
      </c>
      <c r="BJ628" s="12"/>
      <c r="BK628" s="12"/>
      <c r="BL628" s="12" t="s">
        <v>2292</v>
      </c>
      <c r="BM628" s="12" t="s">
        <v>2292</v>
      </c>
      <c r="BN628" s="12" t="s">
        <v>2292</v>
      </c>
      <c r="BO628" s="12" t="s">
        <v>2291</v>
      </c>
      <c r="BP628" s="12" t="s">
        <v>2212</v>
      </c>
      <c r="BQ628" s="12"/>
      <c r="BR628" s="12"/>
      <c r="BS628" s="12"/>
      <c r="BT628" s="12">
        <v>3814000</v>
      </c>
      <c r="BU628" s="12" t="s">
        <v>326</v>
      </c>
      <c r="BV628" s="12"/>
      <c r="BW628" s="12" t="s">
        <v>4832</v>
      </c>
      <c r="BX628" s="12"/>
      <c r="BY628" s="13" t="s">
        <v>313</v>
      </c>
      <c r="BZ628" s="13" t="s">
        <v>6170</v>
      </c>
      <c r="CA628" s="13" t="s">
        <v>6170</v>
      </c>
      <c r="CB628" s="13" t="s">
        <v>6197</v>
      </c>
      <c r="CC628" s="13"/>
      <c r="CD628" s="13" t="s">
        <v>6198</v>
      </c>
      <c r="CE628" s="13"/>
      <c r="CF628" s="13"/>
    </row>
    <row r="629" spans="1:84" ht="18.600000000000001" customHeight="1" x14ac:dyDescent="0.25">
      <c r="A629" s="60" t="s">
        <v>233</v>
      </c>
      <c r="B629" s="2" t="s">
        <v>4934</v>
      </c>
      <c r="C629" s="3" t="s">
        <v>4933</v>
      </c>
      <c r="D629" s="12" t="s">
        <v>4935</v>
      </c>
      <c r="E629" s="12" t="s">
        <v>4943</v>
      </c>
      <c r="F629" s="12" t="s">
        <v>4944</v>
      </c>
      <c r="G629" s="25">
        <v>5898915</v>
      </c>
      <c r="H629" s="25">
        <v>3801346</v>
      </c>
      <c r="I629" s="25">
        <v>497968</v>
      </c>
      <c r="J629" s="25">
        <v>757520</v>
      </c>
      <c r="K629" s="25">
        <v>31950624</v>
      </c>
      <c r="L629" s="25">
        <v>7376032</v>
      </c>
      <c r="M629" s="25">
        <v>39326656</v>
      </c>
      <c r="N629" s="31">
        <v>0.81</v>
      </c>
      <c r="O629" s="25">
        <v>901662</v>
      </c>
      <c r="P629" s="25">
        <v>1211697</v>
      </c>
      <c r="Q629" s="25">
        <v>393273</v>
      </c>
      <c r="R629" s="25">
        <v>14395</v>
      </c>
      <c r="S629" s="25">
        <v>104259</v>
      </c>
      <c r="T629" s="25">
        <v>13800</v>
      </c>
      <c r="U629" s="61">
        <v>315328</v>
      </c>
      <c r="V629" s="58">
        <v>1.0800000000000001E-2</v>
      </c>
      <c r="W629" s="33">
        <v>1.17E-2</v>
      </c>
      <c r="X629" s="33">
        <v>6.6E-3</v>
      </c>
      <c r="Y629" s="33">
        <v>9.9000000000000008E-3</v>
      </c>
      <c r="Z629" s="33">
        <v>1.5900000000000001E-2</v>
      </c>
      <c r="AA629" s="33">
        <v>3.3999999999999998E-3</v>
      </c>
      <c r="AB629" s="25">
        <v>1090</v>
      </c>
      <c r="AC629" s="25">
        <v>558</v>
      </c>
      <c r="AD629" s="25">
        <v>15</v>
      </c>
      <c r="AE629" s="25">
        <v>154</v>
      </c>
      <c r="AF629" s="25">
        <v>251</v>
      </c>
      <c r="AG629" s="25">
        <v>94</v>
      </c>
      <c r="AH629" s="25">
        <v>18</v>
      </c>
      <c r="AI629" s="12">
        <v>2.48</v>
      </c>
      <c r="AJ629" s="25">
        <v>592921</v>
      </c>
      <c r="AK629" s="25">
        <v>303442</v>
      </c>
      <c r="AL629" s="33">
        <v>1.0482</v>
      </c>
      <c r="AM629" s="3" t="s">
        <v>4933</v>
      </c>
      <c r="AN629" s="12" t="s">
        <v>4943</v>
      </c>
      <c r="AO629" s="12" t="s">
        <v>4943</v>
      </c>
      <c r="AP629" s="12" t="str">
        <f>"402027323290064"</f>
        <v>402027323290064</v>
      </c>
      <c r="AQ629" s="12" t="s">
        <v>4935</v>
      </c>
      <c r="AR629" s="12" t="s">
        <v>4967</v>
      </c>
      <c r="AS629" s="12" t="s">
        <v>2213</v>
      </c>
      <c r="AT629" s="12" t="s">
        <v>4968</v>
      </c>
      <c r="AU629" s="12" t="s">
        <v>309</v>
      </c>
      <c r="AV629" s="12"/>
      <c r="AW629" s="12"/>
      <c r="AX629" s="12">
        <v>0</v>
      </c>
      <c r="AY629" s="12">
        <v>14281</v>
      </c>
      <c r="AZ629" s="12">
        <v>0</v>
      </c>
      <c r="BA629" s="12" t="s">
        <v>4969</v>
      </c>
      <c r="BB629" s="12"/>
      <c r="BC629" s="12" t="s">
        <v>6763</v>
      </c>
      <c r="BD629" s="12"/>
      <c r="BE629" s="12" t="s">
        <v>2291</v>
      </c>
      <c r="BF629" s="12"/>
      <c r="BG629" s="12"/>
      <c r="BH629" s="12"/>
      <c r="BI629" s="12"/>
      <c r="BJ629" s="12"/>
      <c r="BK629" s="12"/>
      <c r="BL629" s="12" t="s">
        <v>2292</v>
      </c>
      <c r="BM629" s="12" t="s">
        <v>2292</v>
      </c>
      <c r="BN629" s="12" t="s">
        <v>2292</v>
      </c>
      <c r="BO629" s="12" t="s">
        <v>2291</v>
      </c>
      <c r="BP629" s="12"/>
      <c r="BQ629" s="12"/>
      <c r="BR629" s="12" t="s">
        <v>4970</v>
      </c>
      <c r="BS629" s="12"/>
      <c r="BT629" s="12"/>
      <c r="BU629" s="12"/>
      <c r="BV629" s="12"/>
      <c r="BW629" s="12"/>
      <c r="BX629" s="12"/>
      <c r="BY629" s="13" t="s">
        <v>313</v>
      </c>
      <c r="BZ629" s="13" t="s">
        <v>6171</v>
      </c>
      <c r="CA629" s="13" t="s">
        <v>6170</v>
      </c>
      <c r="CB629" s="13" t="s">
        <v>6199</v>
      </c>
      <c r="CC629" s="13"/>
      <c r="CD629" s="13" t="s">
        <v>6196</v>
      </c>
      <c r="CE629" s="13" t="s">
        <v>6175</v>
      </c>
      <c r="CF629" s="13"/>
    </row>
    <row r="630" spans="1:84" ht="18.600000000000001" customHeight="1" x14ac:dyDescent="0.25">
      <c r="A630" s="35" t="s">
        <v>233</v>
      </c>
      <c r="B630" s="13" t="s">
        <v>315</v>
      </c>
      <c r="C630" s="3" t="s">
        <v>2404</v>
      </c>
      <c r="D630" s="12" t="s">
        <v>2215</v>
      </c>
      <c r="E630" s="12" t="s">
        <v>2214</v>
      </c>
      <c r="F630" s="12" t="s">
        <v>3995</v>
      </c>
      <c r="G630" s="25">
        <v>728354</v>
      </c>
      <c r="H630" s="25">
        <v>346828</v>
      </c>
      <c r="I630" s="25">
        <v>120504</v>
      </c>
      <c r="J630" s="25">
        <v>150630</v>
      </c>
      <c r="K630" s="25">
        <v>1443014</v>
      </c>
      <c r="L630" s="25">
        <v>2884753</v>
      </c>
      <c r="M630" s="25">
        <v>4327767</v>
      </c>
      <c r="N630" s="31">
        <v>0.33</v>
      </c>
      <c r="O630" s="25">
        <v>692280</v>
      </c>
      <c r="P630" s="25">
        <v>495000</v>
      </c>
      <c r="Q630" s="25">
        <v>27831</v>
      </c>
      <c r="R630" s="25">
        <v>2199</v>
      </c>
      <c r="S630" s="25">
        <v>13028</v>
      </c>
      <c r="T630" s="25">
        <v>3035</v>
      </c>
      <c r="U630" s="61">
        <v>64010</v>
      </c>
      <c r="V630" s="58">
        <v>1E-3</v>
      </c>
      <c r="W630" s="33">
        <v>8.9999999999999998E-4</v>
      </c>
      <c r="X630" s="33">
        <v>5.0000000000000001E-4</v>
      </c>
      <c r="Y630" s="33">
        <v>2.0000000000000001E-4</v>
      </c>
      <c r="Z630" s="33">
        <v>2.2000000000000001E-3</v>
      </c>
      <c r="AA630" s="33">
        <v>4.0000000000000002E-4</v>
      </c>
      <c r="AB630" s="25">
        <v>4256</v>
      </c>
      <c r="AC630" s="25">
        <v>3038</v>
      </c>
      <c r="AD630" s="25">
        <v>190</v>
      </c>
      <c r="AE630" s="25">
        <v>5</v>
      </c>
      <c r="AF630" s="25">
        <v>546</v>
      </c>
      <c r="AG630" s="25">
        <v>339</v>
      </c>
      <c r="AH630" s="25">
        <v>138</v>
      </c>
      <c r="AI630" s="12">
        <v>9.69</v>
      </c>
      <c r="AJ630" s="25">
        <v>186781</v>
      </c>
      <c r="AK630" s="25">
        <v>30359</v>
      </c>
      <c r="AL630" s="33">
        <v>0.19409999999999999</v>
      </c>
      <c r="AM630" s="3" t="s">
        <v>2404</v>
      </c>
      <c r="AN630" s="12" t="s">
        <v>2214</v>
      </c>
      <c r="AO630" s="12" t="s">
        <v>2214</v>
      </c>
      <c r="AP630" s="12" t="str">
        <f>"400709789941558"</f>
        <v>400709789941558</v>
      </c>
      <c r="AQ630" s="12" t="s">
        <v>2215</v>
      </c>
      <c r="AR630" s="12" t="s">
        <v>2216</v>
      </c>
      <c r="AS630" s="12" t="s">
        <v>2217</v>
      </c>
      <c r="AT630" s="12"/>
      <c r="AU630" s="12" t="s">
        <v>324</v>
      </c>
      <c r="AV630" s="12" t="s">
        <v>5731</v>
      </c>
      <c r="AW630" s="12"/>
      <c r="AX630" s="12">
        <v>2632</v>
      </c>
      <c r="AY630" s="12">
        <v>4946</v>
      </c>
      <c r="AZ630" s="12">
        <v>2632</v>
      </c>
      <c r="BA630" s="12" t="s">
        <v>2218</v>
      </c>
      <c r="BB630" s="12" t="s">
        <v>6425</v>
      </c>
      <c r="BC630" s="12" t="s">
        <v>6426</v>
      </c>
      <c r="BD630" s="12"/>
      <c r="BE630" s="12" t="s">
        <v>2291</v>
      </c>
      <c r="BF630" s="12"/>
      <c r="BG630" s="12"/>
      <c r="BH630" s="12"/>
      <c r="BI630" s="12"/>
      <c r="BJ630" s="12"/>
      <c r="BK630" s="12"/>
      <c r="BL630" s="12" t="s">
        <v>2292</v>
      </c>
      <c r="BM630" s="12" t="s">
        <v>2292</v>
      </c>
      <c r="BN630" s="12" t="s">
        <v>2292</v>
      </c>
      <c r="BO630" s="12" t="s">
        <v>2292</v>
      </c>
      <c r="BP630" s="12" t="s">
        <v>5776</v>
      </c>
      <c r="BQ630" s="12"/>
      <c r="BR630" s="12"/>
      <c r="BS630" s="12"/>
      <c r="BT630" s="12">
        <v>3939600</v>
      </c>
      <c r="BU630" s="12" t="s">
        <v>326</v>
      </c>
      <c r="BV630" s="12"/>
      <c r="BW630" s="12" t="s">
        <v>2219</v>
      </c>
      <c r="BX630" s="12"/>
      <c r="BY630" s="13" t="s">
        <v>313</v>
      </c>
      <c r="BZ630" s="13" t="s">
        <v>6174</v>
      </c>
      <c r="CA630" s="13" t="s">
        <v>6170</v>
      </c>
      <c r="CB630" s="13" t="s">
        <v>6197</v>
      </c>
      <c r="CC630" s="13"/>
      <c r="CD630" s="13" t="s">
        <v>6198</v>
      </c>
      <c r="CE630" s="13"/>
      <c r="CF630" s="13"/>
    </row>
    <row r="631" spans="1:84" ht="18.600000000000001" customHeight="1" x14ac:dyDescent="0.25">
      <c r="A631" s="60" t="s">
        <v>233</v>
      </c>
      <c r="B631" s="2" t="s">
        <v>5636</v>
      </c>
      <c r="C631" s="3" t="s">
        <v>5637</v>
      </c>
      <c r="D631" s="12" t="s">
        <v>5659</v>
      </c>
      <c r="E631" s="12" t="s">
        <v>5660</v>
      </c>
      <c r="F631" s="12" t="s">
        <v>5661</v>
      </c>
      <c r="G631" s="25">
        <v>23502</v>
      </c>
      <c r="H631" s="25">
        <v>11250</v>
      </c>
      <c r="I631" s="25">
        <v>4887</v>
      </c>
      <c r="J631" s="25">
        <v>5125</v>
      </c>
      <c r="K631" s="25">
        <v>32765</v>
      </c>
      <c r="L631" s="25">
        <v>132857</v>
      </c>
      <c r="M631" s="25">
        <v>165622</v>
      </c>
      <c r="N631" s="31">
        <v>0.2</v>
      </c>
      <c r="O631" s="25">
        <v>1174</v>
      </c>
      <c r="P631" s="25">
        <v>0</v>
      </c>
      <c r="Q631" s="25">
        <v>914</v>
      </c>
      <c r="R631" s="25">
        <v>17</v>
      </c>
      <c r="S631" s="25">
        <v>356</v>
      </c>
      <c r="T631" s="25">
        <v>30</v>
      </c>
      <c r="U631" s="61">
        <v>923</v>
      </c>
      <c r="V631" s="58">
        <v>8.8000000000000005E-3</v>
      </c>
      <c r="W631" s="33">
        <v>7.3000000000000001E-3</v>
      </c>
      <c r="X631" s="33">
        <v>6.4999999999999997E-3</v>
      </c>
      <c r="Y631" s="33">
        <v>5.7999999999999996E-3</v>
      </c>
      <c r="Z631" s="33">
        <v>3.1399999999999997E-2</v>
      </c>
      <c r="AA631" s="12" t="s">
        <v>3926</v>
      </c>
      <c r="AB631" s="25">
        <v>486</v>
      </c>
      <c r="AC631" s="25">
        <v>380</v>
      </c>
      <c r="AD631" s="25">
        <v>43</v>
      </c>
      <c r="AE631" s="25">
        <v>17</v>
      </c>
      <c r="AF631" s="25">
        <v>37</v>
      </c>
      <c r="AG631" s="25">
        <v>9</v>
      </c>
      <c r="AH631" s="25">
        <v>0</v>
      </c>
      <c r="AI631" s="12">
        <v>1.1100000000000001</v>
      </c>
      <c r="AJ631" s="25">
        <v>5822</v>
      </c>
      <c r="AK631" s="25">
        <v>0</v>
      </c>
      <c r="AL631" s="31">
        <v>0</v>
      </c>
      <c r="AM631" s="3" t="s">
        <v>5637</v>
      </c>
      <c r="AN631" s="12" t="s">
        <v>5660</v>
      </c>
      <c r="AO631" s="12" t="s">
        <v>5660</v>
      </c>
      <c r="AP631" s="12" t="str">
        <f>"1250808235045410"</f>
        <v>1250808235045410</v>
      </c>
      <c r="AQ631" s="12" t="s">
        <v>5659</v>
      </c>
      <c r="AR631" s="12" t="s">
        <v>6872</v>
      </c>
      <c r="AS631" s="12" t="s">
        <v>5906</v>
      </c>
      <c r="AT631" s="12"/>
      <c r="AU631" s="12" t="s">
        <v>319</v>
      </c>
      <c r="AV631" s="12"/>
      <c r="AW631" s="12"/>
      <c r="AX631" s="12">
        <v>0</v>
      </c>
      <c r="AY631" s="12">
        <v>356</v>
      </c>
      <c r="AZ631" s="12">
        <v>0</v>
      </c>
      <c r="BA631" s="12" t="s">
        <v>5907</v>
      </c>
      <c r="BB631" s="12"/>
      <c r="BC631" s="12" t="s">
        <v>6873</v>
      </c>
      <c r="BD631" s="12"/>
      <c r="BE631" s="12" t="s">
        <v>2291</v>
      </c>
      <c r="BF631" s="12"/>
      <c r="BG631" s="12"/>
      <c r="BH631" s="12"/>
      <c r="BI631" s="12"/>
      <c r="BJ631" s="12"/>
      <c r="BK631" s="12"/>
      <c r="BL631" s="12" t="s">
        <v>2292</v>
      </c>
      <c r="BM631" s="12" t="s">
        <v>2292</v>
      </c>
      <c r="BN631" s="12" t="s">
        <v>2292</v>
      </c>
      <c r="BO631" s="12" t="s">
        <v>2292</v>
      </c>
      <c r="BP631" s="12"/>
      <c r="BQ631" s="12"/>
      <c r="BR631" s="12"/>
      <c r="BS631" s="12"/>
      <c r="BT631" s="12"/>
      <c r="BU631" s="12"/>
      <c r="BV631" s="12"/>
      <c r="BW631" s="12"/>
      <c r="BX631" s="12"/>
      <c r="BY631" s="13" t="s">
        <v>313</v>
      </c>
      <c r="BZ631" s="13" t="s">
        <v>6172</v>
      </c>
      <c r="CA631" s="13" t="s">
        <v>6170</v>
      </c>
      <c r="CB631" s="13" t="s">
        <v>312</v>
      </c>
      <c r="CC631" s="13"/>
      <c r="CD631" s="13" t="s">
        <v>6198</v>
      </c>
      <c r="CE631" s="13" t="s">
        <v>6175</v>
      </c>
      <c r="CF631" s="13"/>
    </row>
    <row r="632" spans="1:84" ht="18.600000000000001" customHeight="1" x14ac:dyDescent="0.25">
      <c r="A632" s="60" t="s">
        <v>233</v>
      </c>
      <c r="B632" s="2" t="s">
        <v>335</v>
      </c>
      <c r="C632" s="3" t="s">
        <v>4879</v>
      </c>
      <c r="D632" s="12" t="s">
        <v>2220</v>
      </c>
      <c r="E632" s="12" t="s">
        <v>3152</v>
      </c>
      <c r="F632" s="12" t="s">
        <v>3985</v>
      </c>
      <c r="G632" s="25">
        <v>109353</v>
      </c>
      <c r="H632" s="25">
        <v>57617</v>
      </c>
      <c r="I632" s="25">
        <v>7253</v>
      </c>
      <c r="J632" s="25">
        <v>36536</v>
      </c>
      <c r="K632" s="25">
        <v>199183</v>
      </c>
      <c r="L632" s="25">
        <v>347006</v>
      </c>
      <c r="M632" s="25">
        <v>546189</v>
      </c>
      <c r="N632" s="31">
        <v>0.36</v>
      </c>
      <c r="O632" s="25">
        <v>197978</v>
      </c>
      <c r="P632" s="25">
        <v>33665</v>
      </c>
      <c r="Q632" s="25">
        <v>3172</v>
      </c>
      <c r="R632" s="25">
        <v>261</v>
      </c>
      <c r="S632" s="25">
        <v>1342</v>
      </c>
      <c r="T632" s="25">
        <v>338</v>
      </c>
      <c r="U632" s="61">
        <v>2831</v>
      </c>
      <c r="V632" s="58">
        <v>2.9999999999999997E-4</v>
      </c>
      <c r="W632" s="33">
        <v>2.0000000000000001E-4</v>
      </c>
      <c r="X632" s="33">
        <v>4.0000000000000002E-4</v>
      </c>
      <c r="Y632" s="33">
        <v>1E-4</v>
      </c>
      <c r="Z632" s="33">
        <v>8.9999999999999998E-4</v>
      </c>
      <c r="AA632" s="33">
        <v>2.0000000000000001E-4</v>
      </c>
      <c r="AB632" s="25">
        <v>4403</v>
      </c>
      <c r="AC632" s="25">
        <v>2396</v>
      </c>
      <c r="AD632" s="25">
        <v>1229</v>
      </c>
      <c r="AE632" s="25">
        <v>20</v>
      </c>
      <c r="AF632" s="25">
        <v>354</v>
      </c>
      <c r="AG632" s="25">
        <v>337</v>
      </c>
      <c r="AH632" s="25">
        <v>67</v>
      </c>
      <c r="AI632" s="12">
        <v>10.029999999999999</v>
      </c>
      <c r="AJ632" s="25">
        <v>72947</v>
      </c>
      <c r="AK632" s="25">
        <v>5595</v>
      </c>
      <c r="AL632" s="33">
        <v>8.3099999999999993E-2</v>
      </c>
      <c r="AM632" s="3" t="s">
        <v>4879</v>
      </c>
      <c r="AN632" s="12" t="s">
        <v>3152</v>
      </c>
      <c r="AO632" s="12" t="s">
        <v>3152</v>
      </c>
      <c r="AP632" s="12" t="str">
        <f>"121482864578203"</f>
        <v>121482864578203</v>
      </c>
      <c r="AQ632" s="12" t="s">
        <v>2220</v>
      </c>
      <c r="AR632" s="12" t="s">
        <v>2221</v>
      </c>
      <c r="AS632" s="12" t="s">
        <v>2222</v>
      </c>
      <c r="AT632" s="12"/>
      <c r="AU632" s="12" t="s">
        <v>324</v>
      </c>
      <c r="AV632" s="12" t="s">
        <v>5731</v>
      </c>
      <c r="AW632" s="12"/>
      <c r="AX632" s="12">
        <v>1306</v>
      </c>
      <c r="AY632" s="12">
        <v>743</v>
      </c>
      <c r="AZ632" s="12">
        <v>1306</v>
      </c>
      <c r="BA632" s="12" t="s">
        <v>3399</v>
      </c>
      <c r="BB632" s="12" t="s">
        <v>6394</v>
      </c>
      <c r="BC632" s="12" t="s">
        <v>6395</v>
      </c>
      <c r="BD632" s="12"/>
      <c r="BE632" s="12" t="s">
        <v>2291</v>
      </c>
      <c r="BF632" s="12"/>
      <c r="BG632" s="12"/>
      <c r="BH632" s="12"/>
      <c r="BI632" s="12" t="s">
        <v>2380</v>
      </c>
      <c r="BJ632" s="12"/>
      <c r="BK632" s="12" t="s">
        <v>6396</v>
      </c>
      <c r="BL632" s="12" t="s">
        <v>2292</v>
      </c>
      <c r="BM632" s="12" t="s">
        <v>2292</v>
      </c>
      <c r="BN632" s="12" t="s">
        <v>2292</v>
      </c>
      <c r="BO632" s="12" t="s">
        <v>2292</v>
      </c>
      <c r="BP632" s="12" t="s">
        <v>2381</v>
      </c>
      <c r="BQ632" s="12"/>
      <c r="BR632" s="12"/>
      <c r="BS632" s="12"/>
      <c r="BT632" s="12" t="s">
        <v>2382</v>
      </c>
      <c r="BU632" s="12" t="s">
        <v>326</v>
      </c>
      <c r="BV632" s="12"/>
      <c r="BW632" s="12" t="s">
        <v>3537</v>
      </c>
      <c r="BX632" s="12"/>
      <c r="BY632" s="13" t="s">
        <v>313</v>
      </c>
      <c r="BZ632" s="13" t="s">
        <v>6172</v>
      </c>
      <c r="CA632" s="13"/>
      <c r="CB632" s="13"/>
      <c r="CC632" s="13"/>
      <c r="CD632" s="13"/>
      <c r="CE632" s="13" t="s">
        <v>6175</v>
      </c>
      <c r="CF632" s="13"/>
    </row>
    <row r="633" spans="1:84" ht="18.600000000000001" customHeight="1" x14ac:dyDescent="0.25">
      <c r="A633" s="35" t="s">
        <v>234</v>
      </c>
      <c r="B633" s="13" t="s">
        <v>2225</v>
      </c>
      <c r="C633" s="3" t="s">
        <v>6213</v>
      </c>
      <c r="D633" s="12" t="s">
        <v>6212</v>
      </c>
      <c r="E633" s="12"/>
      <c r="F633" s="12" t="s">
        <v>7415</v>
      </c>
      <c r="G633" s="25">
        <v>105066</v>
      </c>
      <c r="H633" s="25">
        <v>65303</v>
      </c>
      <c r="I633" s="25">
        <v>8795</v>
      </c>
      <c r="J633" s="25">
        <v>22369</v>
      </c>
      <c r="K633" s="25">
        <v>0</v>
      </c>
      <c r="L633" s="25">
        <v>0</v>
      </c>
      <c r="M633" s="25">
        <v>0</v>
      </c>
      <c r="N633" s="31">
        <v>0</v>
      </c>
      <c r="O633" s="25">
        <v>54699</v>
      </c>
      <c r="P633" s="25">
        <v>0</v>
      </c>
      <c r="Q633" s="25">
        <v>4165</v>
      </c>
      <c r="R633" s="25">
        <v>1472</v>
      </c>
      <c r="S633" s="25">
        <v>381</v>
      </c>
      <c r="T633" s="25">
        <v>1798</v>
      </c>
      <c r="U633" s="61">
        <v>780</v>
      </c>
      <c r="V633" s="58">
        <v>8.9999999999999998E-4</v>
      </c>
      <c r="W633" s="33">
        <v>8.9999999999999998E-4</v>
      </c>
      <c r="X633" s="33">
        <v>8.9999999999999998E-4</v>
      </c>
      <c r="Y633" s="12" t="s">
        <v>3926</v>
      </c>
      <c r="Z633" s="33">
        <v>1E-3</v>
      </c>
      <c r="AA633" s="33">
        <v>2.0000000000000001E-4</v>
      </c>
      <c r="AB633" s="25">
        <v>3951</v>
      </c>
      <c r="AC633" s="25">
        <v>507</v>
      </c>
      <c r="AD633" s="25">
        <v>3357</v>
      </c>
      <c r="AE633" s="25">
        <v>0</v>
      </c>
      <c r="AF633" s="25">
        <v>1</v>
      </c>
      <c r="AG633" s="25">
        <v>73</v>
      </c>
      <c r="AH633" s="25">
        <v>13</v>
      </c>
      <c r="AI633" s="12">
        <v>9</v>
      </c>
      <c r="AJ633" s="25">
        <v>30707</v>
      </c>
      <c r="AK633" s="25">
        <v>2250</v>
      </c>
      <c r="AL633" s="33">
        <v>7.9100000000000004E-2</v>
      </c>
      <c r="AM633" s="3" t="s">
        <v>6213</v>
      </c>
      <c r="AN633" s="12" t="s">
        <v>6354</v>
      </c>
      <c r="AO633" s="12"/>
      <c r="AP633" s="12" t="str">
        <f>"136913633027025"</f>
        <v>136913633027025</v>
      </c>
      <c r="AQ633" s="12" t="s">
        <v>6212</v>
      </c>
      <c r="AR633" s="12" t="s">
        <v>6355</v>
      </c>
      <c r="AS633" s="12" t="s">
        <v>6356</v>
      </c>
      <c r="AT633" s="12" t="s">
        <v>6357</v>
      </c>
      <c r="AU633" s="12" t="s">
        <v>319</v>
      </c>
      <c r="AV633" s="12"/>
      <c r="AW633" s="12"/>
      <c r="AX633" s="12">
        <v>0</v>
      </c>
      <c r="AY633" s="12">
        <v>751</v>
      </c>
      <c r="AZ633" s="12">
        <v>0</v>
      </c>
      <c r="BA633" s="12" t="s">
        <v>6358</v>
      </c>
      <c r="BB633" s="12" t="s">
        <v>6359</v>
      </c>
      <c r="BC633" s="12" t="s">
        <v>6360</v>
      </c>
      <c r="BD633" s="12"/>
      <c r="BE633" s="12" t="s">
        <v>2291</v>
      </c>
      <c r="BF633" s="12"/>
      <c r="BG633" s="12"/>
      <c r="BH633" s="12"/>
      <c r="BI633" s="12"/>
      <c r="BJ633" s="12"/>
      <c r="BK633" s="12"/>
      <c r="BL633" s="12" t="s">
        <v>2292</v>
      </c>
      <c r="BM633" s="12" t="s">
        <v>2292</v>
      </c>
      <c r="BN633" s="12" t="s">
        <v>2292</v>
      </c>
      <c r="BO633" s="12" t="s">
        <v>2292</v>
      </c>
      <c r="BP633" s="12"/>
      <c r="BQ633" s="12"/>
      <c r="BR633" s="12"/>
      <c r="BS633" s="12"/>
      <c r="BT633" s="12"/>
      <c r="BU633" s="12"/>
      <c r="BV633" s="12"/>
      <c r="BW633" s="12" t="s">
        <v>2234</v>
      </c>
      <c r="BX633" s="12"/>
      <c r="BY633" s="5"/>
      <c r="BZ633" s="13" t="s">
        <v>312</v>
      </c>
      <c r="CA633" s="5"/>
      <c r="CB633" s="5"/>
      <c r="CC633" s="5"/>
      <c r="CD633" s="5"/>
      <c r="CE633" s="5"/>
      <c r="CF633" s="5"/>
    </row>
    <row r="634" spans="1:84" ht="18.600000000000001" customHeight="1" x14ac:dyDescent="0.25">
      <c r="A634" s="28" t="s">
        <v>234</v>
      </c>
      <c r="B634" s="13" t="s">
        <v>314</v>
      </c>
      <c r="C634" s="3" t="s">
        <v>2318</v>
      </c>
      <c r="D634" s="12" t="s">
        <v>2319</v>
      </c>
      <c r="E634" s="12" t="s">
        <v>2223</v>
      </c>
      <c r="F634" s="12" t="s">
        <v>3954</v>
      </c>
      <c r="G634" s="25">
        <v>9044</v>
      </c>
      <c r="H634" s="25">
        <v>6989</v>
      </c>
      <c r="I634" s="25">
        <v>443</v>
      </c>
      <c r="J634" s="25">
        <v>1039</v>
      </c>
      <c r="K634" s="25">
        <v>0</v>
      </c>
      <c r="L634" s="25">
        <v>0</v>
      </c>
      <c r="M634" s="25">
        <v>0</v>
      </c>
      <c r="N634" s="31">
        <v>0</v>
      </c>
      <c r="O634" s="25">
        <v>2441</v>
      </c>
      <c r="P634" s="25">
        <v>0</v>
      </c>
      <c r="Q634" s="25">
        <v>467</v>
      </c>
      <c r="R634" s="25">
        <v>24</v>
      </c>
      <c r="S634" s="25">
        <v>4</v>
      </c>
      <c r="T634" s="25">
        <v>74</v>
      </c>
      <c r="U634" s="61">
        <v>4</v>
      </c>
      <c r="V634" s="58">
        <v>1.4E-3</v>
      </c>
      <c r="W634" s="33">
        <v>1.6000000000000001E-3</v>
      </c>
      <c r="X634" s="33">
        <v>2.9999999999999997E-4</v>
      </c>
      <c r="Y634" s="33">
        <v>5.0000000000000001E-4</v>
      </c>
      <c r="Z634" s="12" t="s">
        <v>3926</v>
      </c>
      <c r="AA634" s="33">
        <v>8.0000000000000004E-4</v>
      </c>
      <c r="AB634" s="25">
        <v>412</v>
      </c>
      <c r="AC634" s="25">
        <v>348</v>
      </c>
      <c r="AD634" s="25">
        <v>31</v>
      </c>
      <c r="AE634" s="25">
        <v>21</v>
      </c>
      <c r="AF634" s="25">
        <v>0</v>
      </c>
      <c r="AG634" s="25">
        <v>7</v>
      </c>
      <c r="AH634" s="25">
        <v>5</v>
      </c>
      <c r="AI634" s="12">
        <v>0.94</v>
      </c>
      <c r="AJ634" s="25">
        <v>15911</v>
      </c>
      <c r="AK634" s="25">
        <v>1420</v>
      </c>
      <c r="AL634" s="33">
        <v>9.8000000000000004E-2</v>
      </c>
      <c r="AM634" s="3" t="s">
        <v>2318</v>
      </c>
      <c r="AN634" s="12" t="s">
        <v>2223</v>
      </c>
      <c r="AO634" s="12" t="s">
        <v>2223</v>
      </c>
      <c r="AP634" s="12" t="str">
        <f>"1391577011145488"</f>
        <v>1391577011145488</v>
      </c>
      <c r="AQ634" s="12" t="s">
        <v>2319</v>
      </c>
      <c r="AR634" s="12" t="s">
        <v>2320</v>
      </c>
      <c r="AS634" s="12" t="s">
        <v>2321</v>
      </c>
      <c r="AT634" s="12" t="s">
        <v>2322</v>
      </c>
      <c r="AU634" s="12" t="s">
        <v>319</v>
      </c>
      <c r="AV634" s="12"/>
      <c r="AW634" s="12"/>
      <c r="AX634" s="12">
        <v>0</v>
      </c>
      <c r="AY634" s="12">
        <v>140</v>
      </c>
      <c r="AZ634" s="12">
        <v>0</v>
      </c>
      <c r="BA634" s="12" t="s">
        <v>262</v>
      </c>
      <c r="BB634" s="12" t="s">
        <v>5740</v>
      </c>
      <c r="BC634" s="12" t="s">
        <v>6313</v>
      </c>
      <c r="BD634" s="12" t="s">
        <v>2323</v>
      </c>
      <c r="BE634" s="12" t="s">
        <v>2291</v>
      </c>
      <c r="BF634" s="12"/>
      <c r="BG634" s="12"/>
      <c r="BH634" s="12"/>
      <c r="BI634" s="12"/>
      <c r="BJ634" s="12"/>
      <c r="BK634" s="12"/>
      <c r="BL634" s="12" t="s">
        <v>2292</v>
      </c>
      <c r="BM634" s="12" t="s">
        <v>2292</v>
      </c>
      <c r="BN634" s="12" t="s">
        <v>2292</v>
      </c>
      <c r="BO634" s="12" t="s">
        <v>2292</v>
      </c>
      <c r="BP634" s="12" t="s">
        <v>2324</v>
      </c>
      <c r="BQ634" s="12"/>
      <c r="BR634" s="12" t="s">
        <v>2325</v>
      </c>
      <c r="BS634" s="12"/>
      <c r="BT634" s="12"/>
      <c r="BU634" s="12"/>
      <c r="BV634" s="12"/>
      <c r="BW634" s="12" t="s">
        <v>2224</v>
      </c>
      <c r="BX634" s="12"/>
      <c r="BY634" s="13" t="s">
        <v>313</v>
      </c>
      <c r="BZ634" s="13" t="s">
        <v>6170</v>
      </c>
      <c r="CA634" s="13" t="s">
        <v>6170</v>
      </c>
      <c r="CB634" s="13" t="s">
        <v>312</v>
      </c>
      <c r="CC634" s="13"/>
      <c r="CD634" s="13" t="s">
        <v>6198</v>
      </c>
      <c r="CE634" s="13"/>
      <c r="CF634" s="13"/>
    </row>
    <row r="635" spans="1:84" ht="18.600000000000001" customHeight="1" x14ac:dyDescent="0.25">
      <c r="A635" s="35" t="s">
        <v>234</v>
      </c>
      <c r="B635" s="13" t="s">
        <v>314</v>
      </c>
      <c r="C635" s="3" t="s">
        <v>2797</v>
      </c>
      <c r="D635" s="12" t="s">
        <v>2226</v>
      </c>
      <c r="E635" s="12" t="s">
        <v>235</v>
      </c>
      <c r="F635" s="12" t="s">
        <v>4226</v>
      </c>
      <c r="G635" s="25">
        <v>144548</v>
      </c>
      <c r="H635" s="25">
        <v>102150</v>
      </c>
      <c r="I635" s="25">
        <v>8760</v>
      </c>
      <c r="J635" s="25">
        <v>25010</v>
      </c>
      <c r="K635" s="25">
        <v>109756</v>
      </c>
      <c r="L635" s="25">
        <v>177150</v>
      </c>
      <c r="M635" s="25">
        <v>286906</v>
      </c>
      <c r="N635" s="31">
        <v>0.38</v>
      </c>
      <c r="O635" s="25">
        <v>12034</v>
      </c>
      <c r="P635" s="25">
        <v>6385</v>
      </c>
      <c r="Q635" s="25">
        <v>7925</v>
      </c>
      <c r="R635" s="25">
        <v>272</v>
      </c>
      <c r="S635" s="25">
        <v>207</v>
      </c>
      <c r="T635" s="25">
        <v>160</v>
      </c>
      <c r="U635" s="61">
        <v>64</v>
      </c>
      <c r="V635" s="58">
        <v>3.3999999999999998E-3</v>
      </c>
      <c r="W635" s="33">
        <v>5.4999999999999997E-3</v>
      </c>
      <c r="X635" s="33">
        <v>1.9E-3</v>
      </c>
      <c r="Y635" s="33">
        <v>4.0000000000000002E-4</v>
      </c>
      <c r="Z635" s="33">
        <v>3.3E-3</v>
      </c>
      <c r="AA635" s="33">
        <v>2.9999999999999997E-4</v>
      </c>
      <c r="AB635" s="25">
        <v>1804</v>
      </c>
      <c r="AC635" s="25">
        <v>715</v>
      </c>
      <c r="AD635" s="25">
        <v>908</v>
      </c>
      <c r="AE635" s="25">
        <v>5</v>
      </c>
      <c r="AF635" s="25">
        <v>112</v>
      </c>
      <c r="AG635" s="25">
        <v>12</v>
      </c>
      <c r="AH635" s="25">
        <v>52</v>
      </c>
      <c r="AI635" s="12">
        <v>4.1100000000000003</v>
      </c>
      <c r="AJ635" s="25">
        <v>26685</v>
      </c>
      <c r="AK635" s="25">
        <v>6519</v>
      </c>
      <c r="AL635" s="33">
        <v>0.32329999999999998</v>
      </c>
      <c r="AM635" s="3" t="s">
        <v>2797</v>
      </c>
      <c r="AN635" s="12" t="s">
        <v>235</v>
      </c>
      <c r="AO635" s="12" t="s">
        <v>235</v>
      </c>
      <c r="AP635" s="12" t="str">
        <f>"928505747209887"</f>
        <v>928505747209887</v>
      </c>
      <c r="AQ635" s="12" t="s">
        <v>2226</v>
      </c>
      <c r="AR635" s="12" t="s">
        <v>2227</v>
      </c>
      <c r="AS635" s="12" t="s">
        <v>2228</v>
      </c>
      <c r="AT635" s="12"/>
      <c r="AU635" s="12" t="s">
        <v>324</v>
      </c>
      <c r="AV635" s="12" t="s">
        <v>5731</v>
      </c>
      <c r="AW635" s="12"/>
      <c r="AX635" s="12">
        <v>1668</v>
      </c>
      <c r="AY635" s="12">
        <v>873</v>
      </c>
      <c r="AZ635" s="12">
        <v>1668</v>
      </c>
      <c r="BA635" s="12" t="s">
        <v>2229</v>
      </c>
      <c r="BB635" s="12" t="s">
        <v>6958</v>
      </c>
      <c r="BC635" s="12" t="s">
        <v>6959</v>
      </c>
      <c r="BD635" s="12"/>
      <c r="BE635" s="12" t="s">
        <v>2291</v>
      </c>
      <c r="BF635" s="12"/>
      <c r="BG635" s="12"/>
      <c r="BH635" s="12"/>
      <c r="BI635" s="12"/>
      <c r="BJ635" s="12"/>
      <c r="BK635" s="12"/>
      <c r="BL635" s="12" t="s">
        <v>2292</v>
      </c>
      <c r="BM635" s="12" t="s">
        <v>2292</v>
      </c>
      <c r="BN635" s="12" t="s">
        <v>2292</v>
      </c>
      <c r="BO635" s="12" t="s">
        <v>2292</v>
      </c>
      <c r="BP635" s="12"/>
      <c r="BQ635" s="12"/>
      <c r="BR635" s="12"/>
      <c r="BS635" s="12"/>
      <c r="BT635" s="12">
        <v>592251330</v>
      </c>
      <c r="BU635" s="12" t="s">
        <v>326</v>
      </c>
      <c r="BV635" s="12"/>
      <c r="BW635" s="12" t="s">
        <v>2230</v>
      </c>
      <c r="BX635" s="12"/>
      <c r="BY635" s="13" t="s">
        <v>313</v>
      </c>
      <c r="BZ635" s="13" t="s">
        <v>6170</v>
      </c>
      <c r="CA635" s="13" t="s">
        <v>6170</v>
      </c>
      <c r="CB635" s="13" t="s">
        <v>6201</v>
      </c>
      <c r="CC635" s="13"/>
      <c r="CD635" s="13" t="s">
        <v>6195</v>
      </c>
      <c r="CE635" s="13"/>
      <c r="CF635" s="13"/>
    </row>
    <row r="636" spans="1:84" ht="18.600000000000001" customHeight="1" x14ac:dyDescent="0.25">
      <c r="A636" s="35" t="s">
        <v>234</v>
      </c>
      <c r="B636" s="13" t="s">
        <v>315</v>
      </c>
      <c r="C636" s="3" t="s">
        <v>2828</v>
      </c>
      <c r="D636" s="12" t="s">
        <v>2231</v>
      </c>
      <c r="E636" s="12" t="s">
        <v>236</v>
      </c>
      <c r="F636" s="12" t="s">
        <v>4245</v>
      </c>
      <c r="G636" s="25">
        <v>38703</v>
      </c>
      <c r="H636" s="25">
        <v>29433</v>
      </c>
      <c r="I636" s="25">
        <v>2681</v>
      </c>
      <c r="J636" s="25">
        <v>4484</v>
      </c>
      <c r="K636" s="25">
        <v>17610</v>
      </c>
      <c r="L636" s="25">
        <v>30052</v>
      </c>
      <c r="M636" s="25">
        <v>47662</v>
      </c>
      <c r="N636" s="31">
        <v>0.37</v>
      </c>
      <c r="O636" s="25">
        <v>47035</v>
      </c>
      <c r="P636" s="25">
        <v>0</v>
      </c>
      <c r="Q636" s="25">
        <v>1902</v>
      </c>
      <c r="R636" s="25">
        <v>74</v>
      </c>
      <c r="S636" s="25">
        <v>74</v>
      </c>
      <c r="T636" s="25">
        <v>37</v>
      </c>
      <c r="U636" s="61">
        <v>17</v>
      </c>
      <c r="V636" s="58">
        <v>3.0999999999999999E-3</v>
      </c>
      <c r="W636" s="33">
        <v>3.7000000000000002E-3</v>
      </c>
      <c r="X636" s="33">
        <v>1.6999999999999999E-3</v>
      </c>
      <c r="Y636" s="33">
        <v>1E-3</v>
      </c>
      <c r="Z636" s="33">
        <v>3.8999999999999998E-3</v>
      </c>
      <c r="AA636" s="33">
        <v>1E-3</v>
      </c>
      <c r="AB636" s="25">
        <v>1012</v>
      </c>
      <c r="AC636" s="25">
        <v>704</v>
      </c>
      <c r="AD636" s="25">
        <v>82</v>
      </c>
      <c r="AE636" s="25">
        <v>34</v>
      </c>
      <c r="AF636" s="25">
        <v>34</v>
      </c>
      <c r="AG636" s="25">
        <v>152</v>
      </c>
      <c r="AH636" s="25">
        <v>6</v>
      </c>
      <c r="AI636" s="12">
        <v>2.31</v>
      </c>
      <c r="AJ636" s="25">
        <v>14028</v>
      </c>
      <c r="AK636" s="25">
        <v>3154</v>
      </c>
      <c r="AL636" s="33">
        <v>0.28999999999999998</v>
      </c>
      <c r="AM636" s="3" t="s">
        <v>2828</v>
      </c>
      <c r="AN636" s="12" t="s">
        <v>236</v>
      </c>
      <c r="AO636" s="12" t="s">
        <v>236</v>
      </c>
      <c r="AP636" s="12" t="str">
        <f>"1660391304179695"</f>
        <v>1660391304179695</v>
      </c>
      <c r="AQ636" s="12" t="s">
        <v>2231</v>
      </c>
      <c r="AR636" s="12"/>
      <c r="AS636" s="12" t="s">
        <v>2232</v>
      </c>
      <c r="AT636" s="12"/>
      <c r="AU636" s="12" t="s">
        <v>324</v>
      </c>
      <c r="AV636" s="12"/>
      <c r="AW636" s="12"/>
      <c r="AX636" s="12">
        <v>0</v>
      </c>
      <c r="AY636" s="12">
        <v>478</v>
      </c>
      <c r="AZ636" s="12">
        <v>0</v>
      </c>
      <c r="BA636" s="12" t="s">
        <v>2233</v>
      </c>
      <c r="BB636" s="12"/>
      <c r="BC636" s="12" t="s">
        <v>6990</v>
      </c>
      <c r="BD636" s="12"/>
      <c r="BE636" s="12" t="s">
        <v>2291</v>
      </c>
      <c r="BF636" s="12"/>
      <c r="BG636" s="12"/>
      <c r="BH636" s="12"/>
      <c r="BI636" s="12"/>
      <c r="BJ636" s="12"/>
      <c r="BK636" s="12"/>
      <c r="BL636" s="12" t="s">
        <v>2292</v>
      </c>
      <c r="BM636" s="12" t="s">
        <v>2292</v>
      </c>
      <c r="BN636" s="12" t="s">
        <v>2292</v>
      </c>
      <c r="BO636" s="12" t="s">
        <v>2292</v>
      </c>
      <c r="BP636" s="12"/>
      <c r="BQ636" s="12"/>
      <c r="BR636" s="12"/>
      <c r="BS636" s="12"/>
      <c r="BT636" s="12"/>
      <c r="BU636" s="12"/>
      <c r="BV636" s="12"/>
      <c r="BW636" s="12"/>
      <c r="BX636" s="12"/>
      <c r="BY636" s="13" t="s">
        <v>313</v>
      </c>
      <c r="BZ636" s="13" t="s">
        <v>6170</v>
      </c>
      <c r="CA636" s="13" t="s">
        <v>6170</v>
      </c>
      <c r="CB636" s="13" t="s">
        <v>6202</v>
      </c>
      <c r="CC636" s="13" t="s">
        <v>6187</v>
      </c>
      <c r="CD636" s="13" t="s">
        <v>6195</v>
      </c>
      <c r="CE636" s="13"/>
      <c r="CF636" s="13"/>
    </row>
    <row r="637" spans="1:84" ht="18.600000000000001" customHeight="1" x14ac:dyDescent="0.25">
      <c r="A637" s="60" t="s">
        <v>234</v>
      </c>
      <c r="B637" s="2" t="s">
        <v>335</v>
      </c>
      <c r="C637" s="3" t="s">
        <v>5062</v>
      </c>
      <c r="D637" s="12" t="s">
        <v>5127</v>
      </c>
      <c r="E637" s="12" t="s">
        <v>5063</v>
      </c>
      <c r="F637" s="12" t="s">
        <v>5128</v>
      </c>
      <c r="G637" s="25">
        <v>1495</v>
      </c>
      <c r="H637" s="25">
        <v>994</v>
      </c>
      <c r="I637" s="25">
        <v>50</v>
      </c>
      <c r="J637" s="25">
        <v>354</v>
      </c>
      <c r="K637" s="25">
        <v>580</v>
      </c>
      <c r="L637" s="25">
        <v>889</v>
      </c>
      <c r="M637" s="25">
        <v>1469</v>
      </c>
      <c r="N637" s="31">
        <v>0.39</v>
      </c>
      <c r="O637" s="25">
        <v>359</v>
      </c>
      <c r="P637" s="25">
        <v>417</v>
      </c>
      <c r="Q637" s="25">
        <v>93</v>
      </c>
      <c r="R637" s="25">
        <v>4</v>
      </c>
      <c r="S637" s="25">
        <v>0</v>
      </c>
      <c r="T637" s="25">
        <v>0</v>
      </c>
      <c r="U637" s="61">
        <v>0</v>
      </c>
      <c r="V637" s="58">
        <v>1.32E-2</v>
      </c>
      <c r="W637" s="33">
        <v>1.24E-2</v>
      </c>
      <c r="X637" s="33">
        <v>1.23E-2</v>
      </c>
      <c r="Y637" s="33">
        <v>1.5699999999999999E-2</v>
      </c>
      <c r="Z637" s="33">
        <v>1.32E-2</v>
      </c>
      <c r="AA637" s="33">
        <v>4.4000000000000003E-3</v>
      </c>
      <c r="AB637" s="25">
        <v>236</v>
      </c>
      <c r="AC637" s="25">
        <v>86</v>
      </c>
      <c r="AD637" s="25">
        <v>123</v>
      </c>
      <c r="AE637" s="25">
        <v>9</v>
      </c>
      <c r="AF637" s="25">
        <v>5</v>
      </c>
      <c r="AG637" s="25">
        <v>7</v>
      </c>
      <c r="AH637" s="25">
        <v>6</v>
      </c>
      <c r="AI637" s="12">
        <v>0.54</v>
      </c>
      <c r="AJ637" s="25">
        <v>696</v>
      </c>
      <c r="AK637" s="25">
        <v>0</v>
      </c>
      <c r="AL637" s="31">
        <v>0</v>
      </c>
      <c r="AM637" s="3" t="s">
        <v>5062</v>
      </c>
      <c r="AN637" s="12" t="s">
        <v>5063</v>
      </c>
      <c r="AO637" s="12" t="s">
        <v>5063</v>
      </c>
      <c r="AP637" s="12" t="str">
        <f>"1856515051283835"</f>
        <v>1856515051283835</v>
      </c>
      <c r="AQ637" s="12" t="s">
        <v>5127</v>
      </c>
      <c r="AR637" s="12" t="s">
        <v>5361</v>
      </c>
      <c r="AS637" s="12" t="s">
        <v>5362</v>
      </c>
      <c r="AT637" s="12"/>
      <c r="AU637" s="12" t="s">
        <v>324</v>
      </c>
      <c r="AV637" s="12"/>
      <c r="AW637" s="12"/>
      <c r="AX637" s="12">
        <v>0</v>
      </c>
      <c r="AY637" s="12">
        <v>82</v>
      </c>
      <c r="AZ637" s="12">
        <v>0</v>
      </c>
      <c r="BA637" s="12" t="s">
        <v>5363</v>
      </c>
      <c r="BB637" s="12"/>
      <c r="BC637" s="12" t="s">
        <v>6838</v>
      </c>
      <c r="BD637" s="12"/>
      <c r="BE637" s="12" t="s">
        <v>2291</v>
      </c>
      <c r="BF637" s="12"/>
      <c r="BG637" s="12"/>
      <c r="BH637" s="12"/>
      <c r="BI637" s="12"/>
      <c r="BJ637" s="12"/>
      <c r="BK637" s="12"/>
      <c r="BL637" s="12" t="s">
        <v>2292</v>
      </c>
      <c r="BM637" s="12" t="s">
        <v>2292</v>
      </c>
      <c r="BN637" s="12" t="s">
        <v>2292</v>
      </c>
      <c r="BO637" s="12" t="s">
        <v>2292</v>
      </c>
      <c r="BP637" s="12" t="s">
        <v>5364</v>
      </c>
      <c r="BQ637" s="12"/>
      <c r="BR637" s="12"/>
      <c r="BS637" s="12"/>
      <c r="BT637" s="12" t="s">
        <v>5365</v>
      </c>
      <c r="BU637" s="12"/>
      <c r="BV637" s="12"/>
      <c r="BW637" s="12"/>
      <c r="BX637" s="12"/>
      <c r="BY637" s="13" t="s">
        <v>313</v>
      </c>
      <c r="BZ637" s="13" t="s">
        <v>6181</v>
      </c>
      <c r="CA637" s="13" t="s">
        <v>6170</v>
      </c>
      <c r="CB637" s="13" t="s">
        <v>312</v>
      </c>
      <c r="CC637" s="13"/>
      <c r="CD637" s="13" t="s">
        <v>6198</v>
      </c>
      <c r="CE637" s="13"/>
      <c r="CF637" s="13"/>
    </row>
    <row r="638" spans="1:84" ht="18.600000000000001" customHeight="1" x14ac:dyDescent="0.25">
      <c r="A638" s="60" t="s">
        <v>237</v>
      </c>
      <c r="B638" s="2" t="s">
        <v>2240</v>
      </c>
      <c r="C638" s="3" t="s">
        <v>2581</v>
      </c>
      <c r="D638" s="12" t="s">
        <v>2236</v>
      </c>
      <c r="E638" s="12" t="s">
        <v>2235</v>
      </c>
      <c r="F638" s="12" t="s">
        <v>4104</v>
      </c>
      <c r="G638" s="25">
        <v>1842442</v>
      </c>
      <c r="H638" s="25">
        <v>1235466</v>
      </c>
      <c r="I638" s="25">
        <v>136506</v>
      </c>
      <c r="J638" s="25">
        <v>227482</v>
      </c>
      <c r="K638" s="25">
        <v>18048104</v>
      </c>
      <c r="L638" s="25">
        <v>2505504</v>
      </c>
      <c r="M638" s="25">
        <v>20553608</v>
      </c>
      <c r="N638" s="31">
        <v>0.88</v>
      </c>
      <c r="O638" s="25">
        <v>69084</v>
      </c>
      <c r="P638" s="25">
        <v>3010</v>
      </c>
      <c r="Q638" s="25">
        <v>114784</v>
      </c>
      <c r="R638" s="25">
        <v>6208</v>
      </c>
      <c r="S638" s="25">
        <v>87428</v>
      </c>
      <c r="T638" s="25">
        <v>3409</v>
      </c>
      <c r="U638" s="61">
        <v>31146</v>
      </c>
      <c r="V638" s="58">
        <v>1.55E-2</v>
      </c>
      <c r="W638" s="33">
        <v>1.12E-2</v>
      </c>
      <c r="X638" s="33">
        <v>9.4999999999999998E-3</v>
      </c>
      <c r="Y638" s="12" t="s">
        <v>3926</v>
      </c>
      <c r="Z638" s="33">
        <v>2.52E-2</v>
      </c>
      <c r="AA638" s="33">
        <v>6.1000000000000004E-3</v>
      </c>
      <c r="AB638" s="25">
        <v>295</v>
      </c>
      <c r="AC638" s="25">
        <v>180</v>
      </c>
      <c r="AD638" s="25">
        <v>3</v>
      </c>
      <c r="AE638" s="25">
        <v>0</v>
      </c>
      <c r="AF638" s="25">
        <v>102</v>
      </c>
      <c r="AG638" s="25">
        <v>9</v>
      </c>
      <c r="AH638" s="25">
        <v>1</v>
      </c>
      <c r="AI638" s="12">
        <v>0.67</v>
      </c>
      <c r="AJ638" s="25">
        <v>445790</v>
      </c>
      <c r="AK638" s="25">
        <v>112938</v>
      </c>
      <c r="AL638" s="33">
        <v>0.33929999999999999</v>
      </c>
      <c r="AM638" s="3" t="s">
        <v>2581</v>
      </c>
      <c r="AN638" s="12" t="s">
        <v>2235</v>
      </c>
      <c r="AO638" s="12" t="s">
        <v>2235</v>
      </c>
      <c r="AP638" s="12" t="str">
        <f>"214727188594831"</f>
        <v>214727188594831</v>
      </c>
      <c r="AQ638" s="12" t="s">
        <v>2236</v>
      </c>
      <c r="AR638" s="12" t="s">
        <v>2237</v>
      </c>
      <c r="AS638" s="12" t="s">
        <v>2582</v>
      </c>
      <c r="AT638" s="12" t="s">
        <v>2583</v>
      </c>
      <c r="AU638" s="12" t="s">
        <v>309</v>
      </c>
      <c r="AV638" s="12" t="s">
        <v>5842</v>
      </c>
      <c r="AW638" s="12"/>
      <c r="AX638" s="12">
        <v>1</v>
      </c>
      <c r="AY638" s="12">
        <v>8823</v>
      </c>
      <c r="AZ638" s="12">
        <v>0</v>
      </c>
      <c r="BA638" s="12" t="s">
        <v>2238</v>
      </c>
      <c r="BB638" s="12" t="s">
        <v>6655</v>
      </c>
      <c r="BC638" s="12" t="s">
        <v>6656</v>
      </c>
      <c r="BD638" s="12" t="s">
        <v>2239</v>
      </c>
      <c r="BE638" s="12" t="s">
        <v>2291</v>
      </c>
      <c r="BF638" s="12"/>
      <c r="BG638" s="12"/>
      <c r="BH638" s="12"/>
      <c r="BI638" s="12"/>
      <c r="BJ638" s="12"/>
      <c r="BK638" s="12"/>
      <c r="BL638" s="12" t="s">
        <v>2292</v>
      </c>
      <c r="BM638" s="12" t="s">
        <v>2292</v>
      </c>
      <c r="BN638" s="12" t="s">
        <v>2292</v>
      </c>
      <c r="BO638" s="12" t="s">
        <v>2291</v>
      </c>
      <c r="BP638" s="12"/>
      <c r="BQ638" s="12"/>
      <c r="BR638" s="12"/>
      <c r="BS638" s="12"/>
      <c r="BT638" s="12"/>
      <c r="BU638" s="12" t="s">
        <v>326</v>
      </c>
      <c r="BV638" s="12"/>
      <c r="BW638" s="12"/>
      <c r="BX638" s="12"/>
      <c r="BY638" s="13" t="s">
        <v>313</v>
      </c>
      <c r="BZ638" s="13" t="s">
        <v>312</v>
      </c>
      <c r="CA638" s="13"/>
      <c r="CB638" s="13"/>
      <c r="CC638" s="13"/>
      <c r="CD638" s="13"/>
      <c r="CE638" s="13"/>
      <c r="CF638" s="13"/>
    </row>
    <row r="639" spans="1:84" ht="18.600000000000001" customHeight="1" x14ac:dyDescent="0.25">
      <c r="A639" s="35" t="s">
        <v>237</v>
      </c>
      <c r="B639" s="13" t="s">
        <v>314</v>
      </c>
      <c r="C639" s="3" t="s">
        <v>2508</v>
      </c>
      <c r="D639" s="12" t="s">
        <v>2250</v>
      </c>
      <c r="E639" s="12" t="s">
        <v>2249</v>
      </c>
      <c r="F639" s="12" t="s">
        <v>4060</v>
      </c>
      <c r="G639" s="25">
        <v>3489</v>
      </c>
      <c r="H639" s="25">
        <v>2098</v>
      </c>
      <c r="I639" s="25">
        <v>67</v>
      </c>
      <c r="J639" s="25">
        <v>1181</v>
      </c>
      <c r="K639" s="25">
        <v>230</v>
      </c>
      <c r="L639" s="25">
        <v>95</v>
      </c>
      <c r="M639" s="25">
        <v>325</v>
      </c>
      <c r="N639" s="31">
        <v>0.71</v>
      </c>
      <c r="O639" s="25">
        <v>154</v>
      </c>
      <c r="P639" s="25">
        <v>0</v>
      </c>
      <c r="Q639" s="25">
        <v>142</v>
      </c>
      <c r="R639" s="25">
        <v>1</v>
      </c>
      <c r="S639" s="25">
        <v>0</v>
      </c>
      <c r="T639" s="25">
        <v>0</v>
      </c>
      <c r="U639" s="61">
        <v>0</v>
      </c>
      <c r="V639" s="58">
        <v>8.9999999999999998E-4</v>
      </c>
      <c r="W639" s="33">
        <v>8.0000000000000004E-4</v>
      </c>
      <c r="X639" s="33">
        <v>1.2999999999999999E-3</v>
      </c>
      <c r="Y639" s="33">
        <v>2.0000000000000001E-4</v>
      </c>
      <c r="Z639" s="33">
        <v>1E-3</v>
      </c>
      <c r="AA639" s="12" t="s">
        <v>3926</v>
      </c>
      <c r="AB639" s="25">
        <v>317</v>
      </c>
      <c r="AC639" s="25">
        <v>278</v>
      </c>
      <c r="AD639" s="25">
        <v>26</v>
      </c>
      <c r="AE639" s="25">
        <v>6</v>
      </c>
      <c r="AF639" s="25">
        <v>3</v>
      </c>
      <c r="AG639" s="25">
        <v>4</v>
      </c>
      <c r="AH639" s="25">
        <v>0</v>
      </c>
      <c r="AI639" s="12">
        <v>0.72</v>
      </c>
      <c r="AJ639" s="25">
        <v>13364</v>
      </c>
      <c r="AK639" s="25">
        <v>1712</v>
      </c>
      <c r="AL639" s="33">
        <v>0.1469</v>
      </c>
      <c r="AM639" s="3" t="s">
        <v>2508</v>
      </c>
      <c r="AN639" s="12" t="s">
        <v>2249</v>
      </c>
      <c r="AO639" s="12" t="s">
        <v>2249</v>
      </c>
      <c r="AP639" s="12" t="str">
        <f>"140457539356382"</f>
        <v>140457539356382</v>
      </c>
      <c r="AQ639" s="12" t="s">
        <v>2250</v>
      </c>
      <c r="AR639" s="12" t="s">
        <v>2251</v>
      </c>
      <c r="AS639" s="12" t="s">
        <v>5289</v>
      </c>
      <c r="AT639" s="12"/>
      <c r="AU639" s="12" t="s">
        <v>324</v>
      </c>
      <c r="AV639" s="12" t="s">
        <v>5731</v>
      </c>
      <c r="AW639" s="12">
        <v>2004</v>
      </c>
      <c r="AX639" s="12">
        <v>70</v>
      </c>
      <c r="AY639" s="12">
        <v>233</v>
      </c>
      <c r="AZ639" s="12">
        <v>70</v>
      </c>
      <c r="BA639" s="12" t="s">
        <v>2252</v>
      </c>
      <c r="BB639" s="12" t="s">
        <v>6569</v>
      </c>
      <c r="BC639" s="12" t="s">
        <v>6570</v>
      </c>
      <c r="BD639" s="12"/>
      <c r="BE639" s="12" t="s">
        <v>2291</v>
      </c>
      <c r="BF639" s="12"/>
      <c r="BG639" s="12"/>
      <c r="BH639" s="12"/>
      <c r="BI639" s="12" t="s">
        <v>4807</v>
      </c>
      <c r="BJ639" s="12" t="s">
        <v>2509</v>
      </c>
      <c r="BK639" s="12" t="s">
        <v>6571</v>
      </c>
      <c r="BL639" s="12" t="s">
        <v>2292</v>
      </c>
      <c r="BM639" s="12" t="s">
        <v>2292</v>
      </c>
      <c r="BN639" s="12" t="s">
        <v>2292</v>
      </c>
      <c r="BO639" s="12" t="s">
        <v>2291</v>
      </c>
      <c r="BP639" s="12" t="s">
        <v>4808</v>
      </c>
      <c r="BQ639" s="12"/>
      <c r="BR639" s="12"/>
      <c r="BS639" s="12"/>
      <c r="BT639" s="12" t="s">
        <v>3227</v>
      </c>
      <c r="BU639" s="12" t="s">
        <v>326</v>
      </c>
      <c r="BV639" s="12"/>
      <c r="BW639" s="12" t="s">
        <v>4809</v>
      </c>
      <c r="BX639" s="12"/>
      <c r="BY639" s="13" t="s">
        <v>313</v>
      </c>
      <c r="BZ639" s="13" t="s">
        <v>6170</v>
      </c>
      <c r="CA639" s="13" t="s">
        <v>6170</v>
      </c>
      <c r="CB639" s="13" t="s">
        <v>6201</v>
      </c>
      <c r="CC639" s="13"/>
      <c r="CD639" s="13" t="s">
        <v>6196</v>
      </c>
      <c r="CE639" s="13"/>
      <c r="CF639" s="13" t="s">
        <v>6178</v>
      </c>
    </row>
    <row r="640" spans="1:84" ht="18.600000000000001" customHeight="1" x14ac:dyDescent="0.25">
      <c r="A640" s="60" t="s">
        <v>237</v>
      </c>
      <c r="B640" s="2" t="s">
        <v>314</v>
      </c>
      <c r="C640" s="3" t="s">
        <v>2429</v>
      </c>
      <c r="D640" s="12" t="s">
        <v>2242</v>
      </c>
      <c r="E640" s="12" t="s">
        <v>2241</v>
      </c>
      <c r="F640" s="12" t="s">
        <v>4011</v>
      </c>
      <c r="G640" s="25">
        <v>312655</v>
      </c>
      <c r="H640" s="25">
        <v>224315</v>
      </c>
      <c r="I640" s="25">
        <v>12254</v>
      </c>
      <c r="J640" s="25">
        <v>53053</v>
      </c>
      <c r="K640" s="25">
        <v>4627266</v>
      </c>
      <c r="L640" s="25">
        <v>532516</v>
      </c>
      <c r="M640" s="25">
        <v>5159782</v>
      </c>
      <c r="N640" s="31">
        <v>0.9</v>
      </c>
      <c r="O640" s="25">
        <v>13358</v>
      </c>
      <c r="P640" s="25">
        <v>904</v>
      </c>
      <c r="Q640" s="25">
        <v>18404</v>
      </c>
      <c r="R640" s="25">
        <v>618</v>
      </c>
      <c r="S640" s="25">
        <v>2874</v>
      </c>
      <c r="T640" s="25">
        <v>404</v>
      </c>
      <c r="U640" s="61">
        <v>732</v>
      </c>
      <c r="V640" s="58">
        <v>3.0000000000000001E-3</v>
      </c>
      <c r="W640" s="33">
        <v>2.3E-3</v>
      </c>
      <c r="X640" s="33">
        <v>1.1000000000000001E-3</v>
      </c>
      <c r="Y640" s="33">
        <v>1E-3</v>
      </c>
      <c r="Z640" s="33">
        <v>3.8E-3</v>
      </c>
      <c r="AA640" s="33">
        <v>5.0000000000000001E-4</v>
      </c>
      <c r="AB640" s="25">
        <v>1090</v>
      </c>
      <c r="AC640" s="25">
        <v>565</v>
      </c>
      <c r="AD640" s="25">
        <v>4</v>
      </c>
      <c r="AE640" s="25">
        <v>1</v>
      </c>
      <c r="AF640" s="25">
        <v>504</v>
      </c>
      <c r="AG640" s="25">
        <v>14</v>
      </c>
      <c r="AH640" s="25">
        <v>2</v>
      </c>
      <c r="AI640" s="12">
        <v>2.48</v>
      </c>
      <c r="AJ640" s="25">
        <v>119005</v>
      </c>
      <c r="AK640" s="25">
        <v>40640</v>
      </c>
      <c r="AL640" s="33">
        <v>0.51859999999999995</v>
      </c>
      <c r="AM640" s="3" t="s">
        <v>2429</v>
      </c>
      <c r="AN640" s="12" t="s">
        <v>2241</v>
      </c>
      <c r="AO640" s="12" t="s">
        <v>2241</v>
      </c>
      <c r="AP640" s="12" t="str">
        <f>"138282352917817"</f>
        <v>138282352917817</v>
      </c>
      <c r="AQ640" s="12" t="s">
        <v>2242</v>
      </c>
      <c r="AR640" s="12" t="s">
        <v>2243</v>
      </c>
      <c r="AS640" s="12" t="s">
        <v>2430</v>
      </c>
      <c r="AT640" s="12"/>
      <c r="AU640" s="12" t="s">
        <v>324</v>
      </c>
      <c r="AV640" s="12" t="s">
        <v>5798</v>
      </c>
      <c r="AW640" s="12"/>
      <c r="AX640" s="12">
        <v>390</v>
      </c>
      <c r="AY640" s="12">
        <v>1655</v>
      </c>
      <c r="AZ640" s="12">
        <v>390</v>
      </c>
      <c r="BA640" s="12" t="s">
        <v>2244</v>
      </c>
      <c r="BB640" s="12" t="s">
        <v>6459</v>
      </c>
      <c r="BC640" s="12" t="s">
        <v>6460</v>
      </c>
      <c r="BD640" s="12"/>
      <c r="BE640" s="12" t="s">
        <v>2291</v>
      </c>
      <c r="BF640" s="12"/>
      <c r="BG640" s="12"/>
      <c r="BH640" s="12"/>
      <c r="BI640" s="12" t="s">
        <v>2245</v>
      </c>
      <c r="BJ640" s="12" t="s">
        <v>2246</v>
      </c>
      <c r="BK640" s="12"/>
      <c r="BL640" s="12" t="s">
        <v>2292</v>
      </c>
      <c r="BM640" s="12" t="s">
        <v>2292</v>
      </c>
      <c r="BN640" s="12" t="s">
        <v>2292</v>
      </c>
      <c r="BO640" s="12" t="s">
        <v>2291</v>
      </c>
      <c r="BP640" s="12"/>
      <c r="BQ640" s="12"/>
      <c r="BR640" s="12"/>
      <c r="BS640" s="12"/>
      <c r="BT640" s="12" t="s">
        <v>2247</v>
      </c>
      <c r="BU640" s="12" t="s">
        <v>326</v>
      </c>
      <c r="BV640" s="12"/>
      <c r="BW640" s="12" t="s">
        <v>4802</v>
      </c>
      <c r="BX640" s="12"/>
      <c r="BY640" s="13" t="s">
        <v>313</v>
      </c>
      <c r="BZ640" s="13" t="s">
        <v>6173</v>
      </c>
      <c r="CA640" s="13" t="s">
        <v>6170</v>
      </c>
      <c r="CB640" s="13" t="s">
        <v>312</v>
      </c>
      <c r="CC640" s="13"/>
      <c r="CD640" s="13" t="s">
        <v>6198</v>
      </c>
      <c r="CE640" s="13"/>
      <c r="CF640" s="13"/>
    </row>
    <row r="641" spans="1:84" ht="18.600000000000001" customHeight="1" x14ac:dyDescent="0.25">
      <c r="A641" s="60" t="s">
        <v>237</v>
      </c>
      <c r="B641" s="2" t="s">
        <v>314</v>
      </c>
      <c r="C641" s="3" t="s">
        <v>3384</v>
      </c>
      <c r="D641" s="12" t="s">
        <v>2242</v>
      </c>
      <c r="E641" s="12" t="s">
        <v>238</v>
      </c>
      <c r="F641" s="12" t="s">
        <v>4299</v>
      </c>
      <c r="G641" s="25">
        <v>0</v>
      </c>
      <c r="H641" s="25">
        <v>0</v>
      </c>
      <c r="I641" s="25">
        <v>0</v>
      </c>
      <c r="J641" s="25">
        <v>0</v>
      </c>
      <c r="K641" s="25">
        <v>0</v>
      </c>
      <c r="L641" s="25">
        <v>0</v>
      </c>
      <c r="M641" s="25">
        <v>0</v>
      </c>
      <c r="N641" s="31">
        <v>0</v>
      </c>
      <c r="O641" s="25">
        <v>0</v>
      </c>
      <c r="P641" s="25">
        <v>0</v>
      </c>
      <c r="Q641" s="25">
        <v>0</v>
      </c>
      <c r="R641" s="25">
        <v>0</v>
      </c>
      <c r="S641" s="25">
        <v>0</v>
      </c>
      <c r="T641" s="25">
        <v>0</v>
      </c>
      <c r="U641" s="61">
        <v>0</v>
      </c>
      <c r="V641" s="59"/>
      <c r="W641" s="12" t="s">
        <v>3926</v>
      </c>
      <c r="X641" s="12" t="s">
        <v>3926</v>
      </c>
      <c r="Y641" s="12" t="s">
        <v>3926</v>
      </c>
      <c r="Z641" s="12" t="s">
        <v>3926</v>
      </c>
      <c r="AA641" s="12" t="s">
        <v>3926</v>
      </c>
      <c r="AB641" s="25" t="s">
        <v>3927</v>
      </c>
      <c r="AC641" s="25">
        <v>0</v>
      </c>
      <c r="AD641" s="25">
        <v>0</v>
      </c>
      <c r="AE641" s="25">
        <v>0</v>
      </c>
      <c r="AF641" s="25">
        <v>0</v>
      </c>
      <c r="AG641" s="25">
        <v>0</v>
      </c>
      <c r="AH641" s="25">
        <v>0</v>
      </c>
      <c r="AI641" s="12">
        <v>0</v>
      </c>
      <c r="AJ641" s="25">
        <v>192</v>
      </c>
      <c r="AK641" s="25">
        <v>1</v>
      </c>
      <c r="AL641" s="33">
        <v>5.1999999999999998E-3</v>
      </c>
      <c r="AM641" s="3" t="s">
        <v>3384</v>
      </c>
      <c r="AN641" s="12" t="s">
        <v>238</v>
      </c>
      <c r="AO641" s="12" t="s">
        <v>238</v>
      </c>
      <c r="AP641" s="12" t="str">
        <f>"305074069562119"</f>
        <v>305074069562119</v>
      </c>
      <c r="AQ641" s="12" t="s">
        <v>2242</v>
      </c>
      <c r="AR641" s="12" t="s">
        <v>2243</v>
      </c>
      <c r="AS641" s="12" t="s">
        <v>3356</v>
      </c>
      <c r="AT641" s="12"/>
      <c r="AU641" s="12" t="s">
        <v>324</v>
      </c>
      <c r="AV641" s="12" t="s">
        <v>5985</v>
      </c>
      <c r="AW641" s="12"/>
      <c r="AX641" s="12">
        <v>0</v>
      </c>
      <c r="AY641" s="12">
        <v>0</v>
      </c>
      <c r="AZ641" s="12">
        <v>0</v>
      </c>
      <c r="BA641" s="12" t="s">
        <v>3357</v>
      </c>
      <c r="BB641" s="12" t="s">
        <v>7096</v>
      </c>
      <c r="BC641" s="12" t="s">
        <v>7097</v>
      </c>
      <c r="BD641" s="12"/>
      <c r="BE641" s="12" t="s">
        <v>2291</v>
      </c>
      <c r="BF641" s="12"/>
      <c r="BG641" s="12"/>
      <c r="BH641" s="12"/>
      <c r="BI641" s="12"/>
      <c r="BJ641" s="12"/>
      <c r="BK641" s="12" t="s">
        <v>6963</v>
      </c>
      <c r="BL641" s="12" t="s">
        <v>2292</v>
      </c>
      <c r="BM641" s="12" t="s">
        <v>2292</v>
      </c>
      <c r="BN641" s="12" t="s">
        <v>2292</v>
      </c>
      <c r="BO641" s="12" t="s">
        <v>2292</v>
      </c>
      <c r="BP641" s="12"/>
      <c r="BQ641" s="12"/>
      <c r="BR641" s="12"/>
      <c r="BS641" s="12"/>
      <c r="BT641" s="12" t="s">
        <v>2247</v>
      </c>
      <c r="BU641" s="12" t="s">
        <v>326</v>
      </c>
      <c r="BV641" s="12"/>
      <c r="BW641" s="12" t="s">
        <v>2248</v>
      </c>
      <c r="BX641" s="12"/>
      <c r="BY641" s="2" t="s">
        <v>3711</v>
      </c>
      <c r="BZ641" s="13" t="s">
        <v>6170</v>
      </c>
      <c r="CA641" s="13" t="s">
        <v>6170</v>
      </c>
      <c r="CB641" s="13" t="s">
        <v>312</v>
      </c>
      <c r="CC641" s="13"/>
      <c r="CD641" s="13" t="s">
        <v>6198</v>
      </c>
      <c r="CE641" s="13"/>
      <c r="CF641" s="13"/>
    </row>
    <row r="642" spans="1:84" ht="18.600000000000001" customHeight="1" x14ac:dyDescent="0.25">
      <c r="A642" s="60" t="s">
        <v>237</v>
      </c>
      <c r="B642" s="2" t="s">
        <v>335</v>
      </c>
      <c r="C642" s="3" t="s">
        <v>2799</v>
      </c>
      <c r="D642" s="12" t="s">
        <v>2253</v>
      </c>
      <c r="E642" s="12" t="s">
        <v>239</v>
      </c>
      <c r="F642" s="12" t="s">
        <v>4228</v>
      </c>
      <c r="G642" s="25">
        <v>2403</v>
      </c>
      <c r="H642" s="25">
        <v>1710</v>
      </c>
      <c r="I642" s="25">
        <v>70</v>
      </c>
      <c r="J642" s="25">
        <v>554</v>
      </c>
      <c r="K642" s="25">
        <v>0</v>
      </c>
      <c r="L642" s="25">
        <v>0</v>
      </c>
      <c r="M642" s="25">
        <v>0</v>
      </c>
      <c r="N642" s="31">
        <v>0</v>
      </c>
      <c r="O642" s="25">
        <v>0</v>
      </c>
      <c r="P642" s="25">
        <v>0</v>
      </c>
      <c r="Q642" s="25">
        <v>61</v>
      </c>
      <c r="R642" s="25">
        <v>4</v>
      </c>
      <c r="S642" s="25">
        <v>3</v>
      </c>
      <c r="T642" s="25">
        <v>1</v>
      </c>
      <c r="U642" s="61">
        <v>0</v>
      </c>
      <c r="V642" s="58">
        <v>1.1999999999999999E-3</v>
      </c>
      <c r="W642" s="33">
        <v>8.9999999999999998E-4</v>
      </c>
      <c r="X642" s="33">
        <v>1.6000000000000001E-3</v>
      </c>
      <c r="Y642" s="33">
        <v>8.0000000000000004E-4</v>
      </c>
      <c r="Z642" s="12" t="s">
        <v>3926</v>
      </c>
      <c r="AA642" s="33">
        <v>5.0000000000000001E-4</v>
      </c>
      <c r="AB642" s="25">
        <v>150</v>
      </c>
      <c r="AC642" s="25">
        <v>89</v>
      </c>
      <c r="AD642" s="25">
        <v>59</v>
      </c>
      <c r="AE642" s="25">
        <v>1</v>
      </c>
      <c r="AF642" s="25">
        <v>0</v>
      </c>
      <c r="AG642" s="25">
        <v>0</v>
      </c>
      <c r="AH642" s="25">
        <v>1</v>
      </c>
      <c r="AI642" s="12">
        <v>0.34</v>
      </c>
      <c r="AJ642" s="25">
        <v>14606</v>
      </c>
      <c r="AK642" s="25">
        <v>1912</v>
      </c>
      <c r="AL642" s="33">
        <v>0.15060000000000001</v>
      </c>
      <c r="AM642" s="3" t="s">
        <v>2799</v>
      </c>
      <c r="AN642" s="12" t="s">
        <v>239</v>
      </c>
      <c r="AO642" s="12" t="s">
        <v>239</v>
      </c>
      <c r="AP642" s="12" t="str">
        <f>"214587865238723"</f>
        <v>214587865238723</v>
      </c>
      <c r="AQ642" s="12" t="s">
        <v>2253</v>
      </c>
      <c r="AR642" s="12" t="s">
        <v>4914</v>
      </c>
      <c r="AS642" s="12" t="s">
        <v>2254</v>
      </c>
      <c r="AT642" s="12"/>
      <c r="AU642" s="12" t="s">
        <v>324</v>
      </c>
      <c r="AV642" s="12" t="s">
        <v>5899</v>
      </c>
      <c r="AW642" s="12"/>
      <c r="AX642" s="12">
        <v>1473</v>
      </c>
      <c r="AY642" s="12">
        <v>37</v>
      </c>
      <c r="AZ642" s="12">
        <v>1473</v>
      </c>
      <c r="BA642" s="12" t="s">
        <v>2255</v>
      </c>
      <c r="BB642" s="12" t="s">
        <v>6961</v>
      </c>
      <c r="BC642" s="12" t="s">
        <v>6962</v>
      </c>
      <c r="BD642" s="12"/>
      <c r="BE642" s="12" t="s">
        <v>2291</v>
      </c>
      <c r="BF642" s="12"/>
      <c r="BG642" s="12"/>
      <c r="BH642" s="12"/>
      <c r="BI642" s="12"/>
      <c r="BJ642" s="12"/>
      <c r="BK642" s="12" t="s">
        <v>6963</v>
      </c>
      <c r="BL642" s="12" t="s">
        <v>2292</v>
      </c>
      <c r="BM642" s="12" t="s">
        <v>2292</v>
      </c>
      <c r="BN642" s="12" t="s">
        <v>2292</v>
      </c>
      <c r="BO642" s="12" t="s">
        <v>2291</v>
      </c>
      <c r="BP642" s="12"/>
      <c r="BQ642" s="12"/>
      <c r="BR642" s="12"/>
      <c r="BS642" s="12"/>
      <c r="BT642" s="12" t="s">
        <v>2256</v>
      </c>
      <c r="BU642" s="12" t="s">
        <v>326</v>
      </c>
      <c r="BV642" s="12"/>
      <c r="BW642" s="12" t="s">
        <v>4915</v>
      </c>
      <c r="BX642" s="12"/>
      <c r="BY642" s="13" t="s">
        <v>313</v>
      </c>
      <c r="BZ642" s="13" t="s">
        <v>312</v>
      </c>
      <c r="CA642" s="13"/>
      <c r="CB642" s="13"/>
      <c r="CC642" s="13"/>
      <c r="CD642" s="13"/>
      <c r="CE642" s="13"/>
      <c r="CF642" s="13"/>
    </row>
    <row r="643" spans="1:84" ht="18.600000000000001" customHeight="1" x14ac:dyDescent="0.25">
      <c r="A643" s="60" t="s">
        <v>240</v>
      </c>
      <c r="B643" s="2" t="s">
        <v>3333</v>
      </c>
      <c r="C643" s="4" t="s">
        <v>3338</v>
      </c>
      <c r="D643" s="12" t="s">
        <v>3651</v>
      </c>
      <c r="E643" s="12" t="s">
        <v>3334</v>
      </c>
      <c r="F643" s="12" t="s">
        <v>4277</v>
      </c>
      <c r="G643" s="25">
        <v>4489380</v>
      </c>
      <c r="H643" s="25">
        <v>2594095</v>
      </c>
      <c r="I643" s="25">
        <v>695392</v>
      </c>
      <c r="J643" s="25">
        <v>405230</v>
      </c>
      <c r="K643" s="25">
        <v>21442244</v>
      </c>
      <c r="L643" s="25">
        <v>12855629</v>
      </c>
      <c r="M643" s="25">
        <v>34297873</v>
      </c>
      <c r="N643" s="31">
        <v>0.63</v>
      </c>
      <c r="O643" s="25">
        <v>1107822</v>
      </c>
      <c r="P643" s="25">
        <v>5129555</v>
      </c>
      <c r="Q643" s="25">
        <v>397665</v>
      </c>
      <c r="R643" s="25">
        <v>38960</v>
      </c>
      <c r="S643" s="25">
        <v>129040</v>
      </c>
      <c r="T643" s="25">
        <v>27027</v>
      </c>
      <c r="U643" s="61">
        <v>199078</v>
      </c>
      <c r="V643" s="58">
        <v>4.4999999999999997E-3</v>
      </c>
      <c r="W643" s="33">
        <v>4.4999999999999997E-3</v>
      </c>
      <c r="X643" s="33">
        <v>2.8E-3</v>
      </c>
      <c r="Y643" s="33">
        <v>8.6E-3</v>
      </c>
      <c r="Z643" s="33">
        <v>4.0000000000000001E-3</v>
      </c>
      <c r="AA643" s="33">
        <v>2.8999999999999998E-3</v>
      </c>
      <c r="AB643" s="25">
        <v>683</v>
      </c>
      <c r="AC643" s="25">
        <v>140</v>
      </c>
      <c r="AD643" s="25">
        <v>48</v>
      </c>
      <c r="AE643" s="25">
        <v>83</v>
      </c>
      <c r="AF643" s="25">
        <v>374</v>
      </c>
      <c r="AG643" s="25">
        <v>36</v>
      </c>
      <c r="AH643" s="25">
        <v>2</v>
      </c>
      <c r="AI643" s="12">
        <v>1.56</v>
      </c>
      <c r="AJ643" s="25">
        <v>1531605</v>
      </c>
      <c r="AK643" s="25">
        <v>140254</v>
      </c>
      <c r="AL643" s="33">
        <v>0.1008</v>
      </c>
      <c r="AM643" s="4" t="s">
        <v>3338</v>
      </c>
      <c r="AN643" s="12" t="s">
        <v>3334</v>
      </c>
      <c r="AO643" s="12" t="s">
        <v>3334</v>
      </c>
      <c r="AP643" s="12" t="str">
        <f>"130379153641715"</f>
        <v>130379153641715</v>
      </c>
      <c r="AQ643" s="12" t="s">
        <v>3651</v>
      </c>
      <c r="AR643" s="12"/>
      <c r="AS643" s="12"/>
      <c r="AT643" s="12" t="s">
        <v>5422</v>
      </c>
      <c r="AU643" s="12" t="s">
        <v>309</v>
      </c>
      <c r="AV643" s="12" t="s">
        <v>5802</v>
      </c>
      <c r="AW643" s="12"/>
      <c r="AX643" s="12">
        <v>3</v>
      </c>
      <c r="AY643" s="12">
        <v>86092</v>
      </c>
      <c r="AZ643" s="12">
        <v>0</v>
      </c>
      <c r="BA643" s="12" t="s">
        <v>3446</v>
      </c>
      <c r="BB643" s="12" t="s">
        <v>7055</v>
      </c>
      <c r="BC643" s="12" t="s">
        <v>7056</v>
      </c>
      <c r="BD643" s="12"/>
      <c r="BE643" s="12" t="s">
        <v>2291</v>
      </c>
      <c r="BF643" s="12"/>
      <c r="BG643" s="12"/>
      <c r="BH643" s="12"/>
      <c r="BI643" s="12"/>
      <c r="BJ643" s="12"/>
      <c r="BK643" s="12"/>
      <c r="BL643" s="12" t="s">
        <v>2292</v>
      </c>
      <c r="BM643" s="12" t="s">
        <v>2292</v>
      </c>
      <c r="BN643" s="12" t="s">
        <v>2292</v>
      </c>
      <c r="BO643" s="12" t="s">
        <v>2291</v>
      </c>
      <c r="BP643" s="12"/>
      <c r="BQ643" s="12"/>
      <c r="BR643" s="12" t="s">
        <v>5423</v>
      </c>
      <c r="BS643" s="12"/>
      <c r="BT643" s="12"/>
      <c r="BU643" s="12" t="s">
        <v>326</v>
      </c>
      <c r="BV643" s="12"/>
      <c r="BW643" s="12"/>
      <c r="BX643" s="12"/>
      <c r="BY643" s="13" t="s">
        <v>313</v>
      </c>
      <c r="BZ643" s="13" t="s">
        <v>312</v>
      </c>
      <c r="CA643" s="13"/>
      <c r="CB643" s="13"/>
      <c r="CC643" s="13"/>
      <c r="CD643" s="13"/>
      <c r="CE643" s="13" t="s">
        <v>6175</v>
      </c>
      <c r="CF643" s="13"/>
    </row>
    <row r="644" spans="1:84" ht="18.600000000000001" customHeight="1" x14ac:dyDescent="0.25">
      <c r="A644" s="60" t="s">
        <v>240</v>
      </c>
      <c r="B644" s="2" t="s">
        <v>315</v>
      </c>
      <c r="C644" s="3" t="s">
        <v>2894</v>
      </c>
      <c r="D644" s="12" t="s">
        <v>2257</v>
      </c>
      <c r="E644" s="12" t="s">
        <v>2258</v>
      </c>
      <c r="F644" s="12" t="s">
        <v>4298</v>
      </c>
      <c r="G644" s="25">
        <v>751608</v>
      </c>
      <c r="H644" s="25">
        <v>373732</v>
      </c>
      <c r="I644" s="25">
        <v>117530</v>
      </c>
      <c r="J644" s="25">
        <v>155329</v>
      </c>
      <c r="K644" s="25">
        <v>4856727</v>
      </c>
      <c r="L644" s="25">
        <v>6101198</v>
      </c>
      <c r="M644" s="25">
        <v>10957925</v>
      </c>
      <c r="N644" s="31">
        <v>0.44</v>
      </c>
      <c r="O644" s="25">
        <v>815933</v>
      </c>
      <c r="P644" s="25">
        <v>2011089</v>
      </c>
      <c r="Q644" s="25">
        <v>62093</v>
      </c>
      <c r="R644" s="25">
        <v>6290</v>
      </c>
      <c r="S644" s="25">
        <v>10202</v>
      </c>
      <c r="T644" s="25">
        <v>2807</v>
      </c>
      <c r="U644" s="61">
        <v>23190</v>
      </c>
      <c r="V644" s="58">
        <v>1.9E-3</v>
      </c>
      <c r="W644" s="33">
        <v>1.4E-3</v>
      </c>
      <c r="X644" s="33">
        <v>1.2999999999999999E-3</v>
      </c>
      <c r="Y644" s="33">
        <v>2.7000000000000001E-3</v>
      </c>
      <c r="Z644" s="33">
        <v>3.3999999999999998E-3</v>
      </c>
      <c r="AA644" s="33">
        <v>8.0000000000000004E-4</v>
      </c>
      <c r="AB644" s="25">
        <v>1532</v>
      </c>
      <c r="AC644" s="25">
        <v>641</v>
      </c>
      <c r="AD644" s="25">
        <v>55</v>
      </c>
      <c r="AE644" s="25">
        <v>7</v>
      </c>
      <c r="AF644" s="25">
        <v>485</v>
      </c>
      <c r="AG644" s="25">
        <v>312</v>
      </c>
      <c r="AH644" s="25">
        <v>32</v>
      </c>
      <c r="AI644" s="12">
        <v>3.49</v>
      </c>
      <c r="AJ644" s="25">
        <v>295032</v>
      </c>
      <c r="AK644" s="25">
        <v>94761</v>
      </c>
      <c r="AL644" s="33">
        <v>0.47320000000000001</v>
      </c>
      <c r="AM644" s="3" t="s">
        <v>2894</v>
      </c>
      <c r="AN644" s="12" t="s">
        <v>2258</v>
      </c>
      <c r="AO644" s="12" t="s">
        <v>2258</v>
      </c>
      <c r="AP644" s="12" t="str">
        <f>"200505530012627"</f>
        <v>200505530012627</v>
      </c>
      <c r="AQ644" s="12" t="s">
        <v>2257</v>
      </c>
      <c r="AR644" s="12" t="s">
        <v>2259</v>
      </c>
      <c r="AS644" s="12" t="s">
        <v>3664</v>
      </c>
      <c r="AT644" s="12"/>
      <c r="AU644" s="12" t="s">
        <v>324</v>
      </c>
      <c r="AV644" s="12"/>
      <c r="AW644" s="12" t="s">
        <v>2260</v>
      </c>
      <c r="AX644" s="12">
        <v>0</v>
      </c>
      <c r="AY644" s="12">
        <v>7126</v>
      </c>
      <c r="AZ644" s="12">
        <v>0</v>
      </c>
      <c r="BA644" s="12" t="s">
        <v>263</v>
      </c>
      <c r="BB644" s="12" t="s">
        <v>5984</v>
      </c>
      <c r="BC644" s="12" t="s">
        <v>7095</v>
      </c>
      <c r="BD644" s="12"/>
      <c r="BE644" s="12" t="s">
        <v>2291</v>
      </c>
      <c r="BF644" s="12"/>
      <c r="BG644" s="12"/>
      <c r="BH644" s="12"/>
      <c r="BI644" s="12"/>
      <c r="BJ644" s="12" t="s">
        <v>3665</v>
      </c>
      <c r="BK644" s="12"/>
      <c r="BL644" s="12" t="s">
        <v>2292</v>
      </c>
      <c r="BM644" s="12" t="s">
        <v>2292</v>
      </c>
      <c r="BN644" s="12" t="s">
        <v>2292</v>
      </c>
      <c r="BO644" s="12" t="s">
        <v>2291</v>
      </c>
      <c r="BP644" s="12"/>
      <c r="BQ644" s="12"/>
      <c r="BR644" s="12"/>
      <c r="BS644" s="12"/>
      <c r="BT644" s="12"/>
      <c r="BU644" s="12"/>
      <c r="BV644" s="12"/>
      <c r="BW644" s="12" t="s">
        <v>2261</v>
      </c>
      <c r="BX644" s="12"/>
      <c r="BY644" s="13" t="s">
        <v>313</v>
      </c>
      <c r="BZ644" s="13" t="s">
        <v>6172</v>
      </c>
      <c r="CA644" s="13" t="s">
        <v>6170</v>
      </c>
      <c r="CB644" s="13" t="s">
        <v>312</v>
      </c>
      <c r="CC644" s="13"/>
      <c r="CD644" s="13" t="s">
        <v>6198</v>
      </c>
      <c r="CE644" s="13"/>
      <c r="CF644" s="13"/>
    </row>
    <row r="645" spans="1:84" ht="18.600000000000001" customHeight="1" x14ac:dyDescent="0.25">
      <c r="A645" s="60" t="s">
        <v>240</v>
      </c>
      <c r="B645" s="2" t="s">
        <v>4668</v>
      </c>
      <c r="C645" s="3" t="s">
        <v>4669</v>
      </c>
      <c r="D645" s="12" t="s">
        <v>4718</v>
      </c>
      <c r="E645" s="12"/>
      <c r="F645" s="12" t="s">
        <v>4746</v>
      </c>
      <c r="G645" s="25">
        <v>3934</v>
      </c>
      <c r="H645" s="25">
        <v>2625</v>
      </c>
      <c r="I645" s="25">
        <v>564</v>
      </c>
      <c r="J645" s="25">
        <v>75</v>
      </c>
      <c r="K645" s="25">
        <v>0</v>
      </c>
      <c r="L645" s="25">
        <v>0</v>
      </c>
      <c r="M645" s="25">
        <v>0</v>
      </c>
      <c r="N645" s="31">
        <v>0</v>
      </c>
      <c r="O645" s="25">
        <v>7140</v>
      </c>
      <c r="P645" s="25">
        <v>0</v>
      </c>
      <c r="Q645" s="25">
        <v>357</v>
      </c>
      <c r="R645" s="25">
        <v>17</v>
      </c>
      <c r="S645" s="25">
        <v>21</v>
      </c>
      <c r="T645" s="25">
        <v>260</v>
      </c>
      <c r="U645" s="61">
        <v>15</v>
      </c>
      <c r="V645" s="58">
        <v>2.87E-2</v>
      </c>
      <c r="W645" s="33">
        <v>3.8100000000000002E-2</v>
      </c>
      <c r="X645" s="33">
        <v>1.3599999999999999E-2</v>
      </c>
      <c r="Y645" s="33">
        <v>0.25600000000000001</v>
      </c>
      <c r="Z645" s="12" t="s">
        <v>3926</v>
      </c>
      <c r="AA645" s="33">
        <v>4.3E-3</v>
      </c>
      <c r="AB645" s="25">
        <v>83</v>
      </c>
      <c r="AC645" s="25">
        <v>26</v>
      </c>
      <c r="AD645" s="25">
        <v>14</v>
      </c>
      <c r="AE645" s="25">
        <v>2</v>
      </c>
      <c r="AF645" s="25">
        <v>0</v>
      </c>
      <c r="AG645" s="25">
        <v>40</v>
      </c>
      <c r="AH645" s="25">
        <v>1</v>
      </c>
      <c r="AI645" s="12">
        <v>0.19</v>
      </c>
      <c r="AJ645" s="25">
        <v>2308</v>
      </c>
      <c r="AK645" s="25">
        <v>0</v>
      </c>
      <c r="AL645" s="31">
        <v>0</v>
      </c>
      <c r="AM645" s="3" t="s">
        <v>4669</v>
      </c>
      <c r="AN645" s="12" t="s">
        <v>5283</v>
      </c>
      <c r="AO645" s="12"/>
      <c r="AP645" s="12" t="str">
        <f>"153149818440394"</f>
        <v>153149818440394</v>
      </c>
      <c r="AQ645" s="12" t="s">
        <v>4718</v>
      </c>
      <c r="AR645" s="12"/>
      <c r="AS645" s="12"/>
      <c r="AT645" s="12"/>
      <c r="AU645" s="12" t="s">
        <v>319</v>
      </c>
      <c r="AV645" s="12"/>
      <c r="AW645" s="12"/>
      <c r="AX645" s="12">
        <v>0</v>
      </c>
      <c r="AY645" s="12">
        <v>5</v>
      </c>
      <c r="AZ645" s="12">
        <v>0</v>
      </c>
      <c r="BA645" s="12" t="s">
        <v>4719</v>
      </c>
      <c r="BB645" s="12"/>
      <c r="BC645" s="12" t="s">
        <v>6544</v>
      </c>
      <c r="BD645" s="12"/>
      <c r="BE645" s="12" t="s">
        <v>2291</v>
      </c>
      <c r="BF645" s="12"/>
      <c r="BG645" s="12"/>
      <c r="BH645" s="12"/>
      <c r="BI645" s="12" t="s">
        <v>4672</v>
      </c>
      <c r="BJ645" s="12"/>
      <c r="BK645" s="12"/>
      <c r="BL645" s="12" t="s">
        <v>2292</v>
      </c>
      <c r="BM645" s="12" t="s">
        <v>2292</v>
      </c>
      <c r="BN645" s="12" t="s">
        <v>2292</v>
      </c>
      <c r="BO645" s="12" t="s">
        <v>2292</v>
      </c>
      <c r="BP645" s="12"/>
      <c r="BQ645" s="12"/>
      <c r="BR645" s="12"/>
      <c r="BS645" s="12"/>
      <c r="BT645" s="12"/>
      <c r="BU645" s="12"/>
      <c r="BV645" s="12"/>
      <c r="BW645" s="12"/>
      <c r="BX645" s="12"/>
      <c r="BY645" s="13" t="s">
        <v>313</v>
      </c>
      <c r="BZ645" s="13" t="s">
        <v>6170</v>
      </c>
      <c r="CA645" s="13" t="s">
        <v>6170</v>
      </c>
      <c r="CB645" s="13" t="s">
        <v>312</v>
      </c>
      <c r="CC645" s="13"/>
      <c r="CD645" s="13" t="s">
        <v>6198</v>
      </c>
      <c r="CE645" s="13"/>
      <c r="CF645" s="13"/>
    </row>
    <row r="646" spans="1:84" ht="18.600000000000001" customHeight="1" x14ac:dyDescent="0.25">
      <c r="A646" s="60" t="s">
        <v>240</v>
      </c>
      <c r="B646" s="2" t="s">
        <v>315</v>
      </c>
      <c r="C646" s="3" t="s">
        <v>2846</v>
      </c>
      <c r="D646" s="12" t="s">
        <v>2263</v>
      </c>
      <c r="E646" s="12" t="s">
        <v>2262</v>
      </c>
      <c r="F646" s="12" t="s">
        <v>4264</v>
      </c>
      <c r="G646" s="25">
        <v>325215</v>
      </c>
      <c r="H646" s="25">
        <v>139948</v>
      </c>
      <c r="I646" s="25">
        <v>21925</v>
      </c>
      <c r="J646" s="25">
        <v>134359</v>
      </c>
      <c r="K646" s="25">
        <v>444210</v>
      </c>
      <c r="L646" s="25">
        <v>831605</v>
      </c>
      <c r="M646" s="25">
        <v>1275815</v>
      </c>
      <c r="N646" s="31">
        <v>0.35</v>
      </c>
      <c r="O646" s="25">
        <v>332480</v>
      </c>
      <c r="P646" s="25">
        <v>146574</v>
      </c>
      <c r="Q646" s="25">
        <v>12736</v>
      </c>
      <c r="R646" s="25">
        <v>2291</v>
      </c>
      <c r="S646" s="25">
        <v>7336</v>
      </c>
      <c r="T646" s="25">
        <v>2244</v>
      </c>
      <c r="U646" s="61">
        <v>4332</v>
      </c>
      <c r="V646" s="58">
        <v>1.5E-3</v>
      </c>
      <c r="W646" s="33">
        <v>2.3E-3</v>
      </c>
      <c r="X646" s="33">
        <v>1.1000000000000001E-3</v>
      </c>
      <c r="Y646" s="33">
        <v>1.1000000000000001E-3</v>
      </c>
      <c r="Z646" s="33">
        <v>1.2999999999999999E-3</v>
      </c>
      <c r="AA646" s="33">
        <v>8.0000000000000004E-4</v>
      </c>
      <c r="AB646" s="25">
        <v>903</v>
      </c>
      <c r="AC646" s="25">
        <v>413</v>
      </c>
      <c r="AD646" s="25">
        <v>59</v>
      </c>
      <c r="AE646" s="25">
        <v>2</v>
      </c>
      <c r="AF646" s="25">
        <v>208</v>
      </c>
      <c r="AG646" s="25">
        <v>191</v>
      </c>
      <c r="AH646" s="25">
        <v>30</v>
      </c>
      <c r="AI646" s="12">
        <v>2.06</v>
      </c>
      <c r="AJ646" s="25">
        <v>272483</v>
      </c>
      <c r="AK646" s="25">
        <v>84845</v>
      </c>
      <c r="AL646" s="33">
        <v>0.45219999999999999</v>
      </c>
      <c r="AM646" s="3" t="s">
        <v>2846</v>
      </c>
      <c r="AN646" s="12" t="s">
        <v>2262</v>
      </c>
      <c r="AO646" s="12" t="s">
        <v>2262</v>
      </c>
      <c r="AP646" s="12" t="str">
        <f>"317875174912143"</f>
        <v>317875174912143</v>
      </c>
      <c r="AQ646" s="12" t="s">
        <v>2263</v>
      </c>
      <c r="AR646" s="12" t="s">
        <v>2264</v>
      </c>
      <c r="AS646" s="12" t="s">
        <v>2847</v>
      </c>
      <c r="AT646" s="12"/>
      <c r="AU646" s="12" t="s">
        <v>324</v>
      </c>
      <c r="AV646" s="12" t="s">
        <v>5798</v>
      </c>
      <c r="AW646" s="12"/>
      <c r="AX646" s="12">
        <v>6282</v>
      </c>
      <c r="AY646" s="12">
        <v>883</v>
      </c>
      <c r="AZ646" s="12">
        <v>0</v>
      </c>
      <c r="BA646" s="12" t="s">
        <v>2265</v>
      </c>
      <c r="BB646" s="12" t="s">
        <v>7019</v>
      </c>
      <c r="BC646" s="12" t="s">
        <v>7020</v>
      </c>
      <c r="BD646" s="12"/>
      <c r="BE646" s="12" t="s">
        <v>2291</v>
      </c>
      <c r="BF646" s="12"/>
      <c r="BG646" s="12"/>
      <c r="BH646" s="12"/>
      <c r="BI646" s="12" t="s">
        <v>2848</v>
      </c>
      <c r="BJ646" s="12"/>
      <c r="BK646" s="12" t="s">
        <v>6581</v>
      </c>
      <c r="BL646" s="12" t="s">
        <v>2292</v>
      </c>
      <c r="BM646" s="12" t="s">
        <v>2292</v>
      </c>
      <c r="BN646" s="12" t="s">
        <v>2292</v>
      </c>
      <c r="BO646" s="12" t="s">
        <v>2291</v>
      </c>
      <c r="BP646" s="12" t="s">
        <v>2266</v>
      </c>
      <c r="BQ646" s="12"/>
      <c r="BR646" s="12"/>
      <c r="BS646" s="12"/>
      <c r="BT646" s="12" t="s">
        <v>2267</v>
      </c>
      <c r="BU646" s="12" t="s">
        <v>326</v>
      </c>
      <c r="BV646" s="12"/>
      <c r="BW646" s="12" t="s">
        <v>3841</v>
      </c>
      <c r="BX646" s="12"/>
      <c r="BY646" s="13" t="s">
        <v>313</v>
      </c>
      <c r="BZ646" s="13" t="s">
        <v>6174</v>
      </c>
      <c r="CA646" s="13" t="s">
        <v>6170</v>
      </c>
      <c r="CB646" s="13" t="s">
        <v>6197</v>
      </c>
      <c r="CC646" s="13"/>
      <c r="CD646" s="13" t="s">
        <v>6198</v>
      </c>
      <c r="CE646" s="13" t="s">
        <v>6175</v>
      </c>
      <c r="CF646" s="13" t="s">
        <v>6178</v>
      </c>
    </row>
    <row r="647" spans="1:84" ht="18.600000000000001" customHeight="1" x14ac:dyDescent="0.25">
      <c r="A647" s="60" t="s">
        <v>240</v>
      </c>
      <c r="B647" s="2" t="s">
        <v>335</v>
      </c>
      <c r="C647" s="3" t="s">
        <v>2383</v>
      </c>
      <c r="D647" s="12" t="s">
        <v>2269</v>
      </c>
      <c r="E647" s="12" t="s">
        <v>242</v>
      </c>
      <c r="F647" s="12" t="s">
        <v>3987</v>
      </c>
      <c r="G647" s="25">
        <v>158463</v>
      </c>
      <c r="H647" s="25">
        <v>96568</v>
      </c>
      <c r="I647" s="25">
        <v>7713</v>
      </c>
      <c r="J647" s="25">
        <v>43063</v>
      </c>
      <c r="K647" s="25">
        <v>186010</v>
      </c>
      <c r="L647" s="25">
        <v>412881</v>
      </c>
      <c r="M647" s="25">
        <v>598891</v>
      </c>
      <c r="N647" s="31">
        <v>0.31</v>
      </c>
      <c r="O647" s="25">
        <v>110634</v>
      </c>
      <c r="P647" s="25">
        <v>32710</v>
      </c>
      <c r="Q647" s="25">
        <v>8499</v>
      </c>
      <c r="R647" s="25">
        <v>1264</v>
      </c>
      <c r="S647" s="25">
        <v>544</v>
      </c>
      <c r="T647" s="25">
        <v>332</v>
      </c>
      <c r="U647" s="61">
        <v>448</v>
      </c>
      <c r="V647" s="58">
        <v>8.9999999999999998E-4</v>
      </c>
      <c r="W647" s="33">
        <v>8.0000000000000004E-4</v>
      </c>
      <c r="X647" s="33">
        <v>8.0000000000000004E-4</v>
      </c>
      <c r="Y647" s="33">
        <v>0</v>
      </c>
      <c r="Z647" s="33">
        <v>2E-3</v>
      </c>
      <c r="AA647" s="33">
        <v>2.9999999999999997E-4</v>
      </c>
      <c r="AB647" s="25">
        <v>1832</v>
      </c>
      <c r="AC647" s="25">
        <v>1396</v>
      </c>
      <c r="AD647" s="25">
        <v>158</v>
      </c>
      <c r="AE647" s="25">
        <v>1</v>
      </c>
      <c r="AF647" s="25">
        <v>140</v>
      </c>
      <c r="AG647" s="25">
        <v>85</v>
      </c>
      <c r="AH647" s="25">
        <v>52</v>
      </c>
      <c r="AI647" s="12">
        <v>4.17</v>
      </c>
      <c r="AJ647" s="25">
        <v>112953</v>
      </c>
      <c r="AK647" s="25">
        <v>34185</v>
      </c>
      <c r="AL647" s="33">
        <v>0.434</v>
      </c>
      <c r="AM647" s="3" t="s">
        <v>2383</v>
      </c>
      <c r="AN647" s="12" t="s">
        <v>242</v>
      </c>
      <c r="AO647" s="12" t="s">
        <v>242</v>
      </c>
      <c r="AP647" s="12" t="str">
        <f>"183933691687868"</f>
        <v>183933691687868</v>
      </c>
      <c r="AQ647" s="12" t="s">
        <v>2269</v>
      </c>
      <c r="AR647" s="12" t="s">
        <v>2270</v>
      </c>
      <c r="AS647" s="12" t="s">
        <v>2271</v>
      </c>
      <c r="AT647" s="12"/>
      <c r="AU647" s="12" t="s">
        <v>324</v>
      </c>
      <c r="AV647" s="12" t="s">
        <v>5731</v>
      </c>
      <c r="AW647" s="12"/>
      <c r="AX647" s="12">
        <v>12264</v>
      </c>
      <c r="AY647" s="12">
        <v>1386</v>
      </c>
      <c r="AZ647" s="12">
        <v>12264</v>
      </c>
      <c r="BA647" s="12" t="s">
        <v>2384</v>
      </c>
      <c r="BB647" s="12" t="s">
        <v>6397</v>
      </c>
      <c r="BC647" s="12" t="s">
        <v>6398</v>
      </c>
      <c r="BD647" s="12"/>
      <c r="BE647" s="12" t="s">
        <v>2291</v>
      </c>
      <c r="BF647" s="12"/>
      <c r="BG647" s="12"/>
      <c r="BH647" s="12"/>
      <c r="BI647" s="12" t="s">
        <v>2385</v>
      </c>
      <c r="BJ647" s="12" t="s">
        <v>2386</v>
      </c>
      <c r="BK647" s="12"/>
      <c r="BL647" s="12" t="s">
        <v>2292</v>
      </c>
      <c r="BM647" s="12" t="s">
        <v>2292</v>
      </c>
      <c r="BN647" s="12" t="s">
        <v>2292</v>
      </c>
      <c r="BO647" s="12" t="s">
        <v>2291</v>
      </c>
      <c r="BP647" s="12" t="s">
        <v>2387</v>
      </c>
      <c r="BQ647" s="12"/>
      <c r="BR647" s="12"/>
      <c r="BS647" s="12"/>
      <c r="BT647" s="12" t="s">
        <v>2272</v>
      </c>
      <c r="BU647" s="12" t="s">
        <v>326</v>
      </c>
      <c r="BV647" s="12"/>
      <c r="BW647" s="12" t="s">
        <v>2268</v>
      </c>
      <c r="BX647" s="12"/>
      <c r="BY647" s="13" t="s">
        <v>313</v>
      </c>
      <c r="BZ647" s="13" t="s">
        <v>6172</v>
      </c>
      <c r="CA647" s="13" t="s">
        <v>6170</v>
      </c>
      <c r="CB647" s="13" t="s">
        <v>6197</v>
      </c>
      <c r="CC647" s="13"/>
      <c r="CD647" s="13" t="s">
        <v>6198</v>
      </c>
      <c r="CE647" s="13"/>
      <c r="CF647" s="13"/>
    </row>
    <row r="648" spans="1:84" ht="18.600000000000001" customHeight="1" x14ac:dyDescent="0.25">
      <c r="A648" s="60" t="s">
        <v>245</v>
      </c>
      <c r="B648" s="2" t="s">
        <v>2278</v>
      </c>
      <c r="C648" s="3" t="s">
        <v>2367</v>
      </c>
      <c r="D648" s="12" t="s">
        <v>2273</v>
      </c>
      <c r="E648" s="12" t="s">
        <v>2274</v>
      </c>
      <c r="F648" s="12" t="s">
        <v>3975</v>
      </c>
      <c r="G648" s="25">
        <v>0</v>
      </c>
      <c r="H648" s="25">
        <v>0</v>
      </c>
      <c r="I648" s="25">
        <v>0</v>
      </c>
      <c r="J648" s="25">
        <v>0</v>
      </c>
      <c r="K648" s="25">
        <v>0</v>
      </c>
      <c r="L648" s="25">
        <v>0</v>
      </c>
      <c r="M648" s="25">
        <v>0</v>
      </c>
      <c r="N648" s="31">
        <v>0</v>
      </c>
      <c r="O648" s="25">
        <v>0</v>
      </c>
      <c r="P648" s="25">
        <v>0</v>
      </c>
      <c r="Q648" s="25">
        <v>0</v>
      </c>
      <c r="R648" s="25">
        <v>0</v>
      </c>
      <c r="S648" s="25">
        <v>0</v>
      </c>
      <c r="T648" s="25">
        <v>0</v>
      </c>
      <c r="U648" s="61">
        <v>0</v>
      </c>
      <c r="V648" s="59"/>
      <c r="W648" s="12" t="s">
        <v>3926</v>
      </c>
      <c r="X648" s="12" t="s">
        <v>3926</v>
      </c>
      <c r="Y648" s="12" t="s">
        <v>3926</v>
      </c>
      <c r="Z648" s="12" t="s">
        <v>3926</v>
      </c>
      <c r="AA648" s="12" t="s">
        <v>3926</v>
      </c>
      <c r="AB648" s="25" t="s">
        <v>3927</v>
      </c>
      <c r="AC648" s="25">
        <v>0</v>
      </c>
      <c r="AD648" s="25">
        <v>0</v>
      </c>
      <c r="AE648" s="25">
        <v>0</v>
      </c>
      <c r="AF648" s="25">
        <v>0</v>
      </c>
      <c r="AG648" s="25">
        <v>0</v>
      </c>
      <c r="AH648" s="25">
        <v>0</v>
      </c>
      <c r="AI648" s="12">
        <v>0</v>
      </c>
      <c r="AJ648" s="25">
        <v>168</v>
      </c>
      <c r="AK648" s="25">
        <v>81</v>
      </c>
      <c r="AL648" s="33">
        <v>0.93100000000000005</v>
      </c>
      <c r="AM648" s="3" t="s">
        <v>2367</v>
      </c>
      <c r="AN648" s="12" t="s">
        <v>2274</v>
      </c>
      <c r="AO648" s="12" t="s">
        <v>2274</v>
      </c>
      <c r="AP648" s="12" t="str">
        <f>"915488088507492"</f>
        <v>915488088507492</v>
      </c>
      <c r="AQ648" s="12" t="s">
        <v>2273</v>
      </c>
      <c r="AR648" s="12" t="s">
        <v>2275</v>
      </c>
      <c r="AS648" s="12"/>
      <c r="AT648" s="12"/>
      <c r="AU648" s="12" t="s">
        <v>309</v>
      </c>
      <c r="AV648" s="12"/>
      <c r="AW648" s="12"/>
      <c r="AX648" s="12">
        <v>0</v>
      </c>
      <c r="AY648" s="12">
        <v>3</v>
      </c>
      <c r="AZ648" s="12">
        <v>0</v>
      </c>
      <c r="BA648" s="12" t="s">
        <v>2276</v>
      </c>
      <c r="BB648" s="12" t="s">
        <v>5753</v>
      </c>
      <c r="BC648" s="12" t="s">
        <v>6353</v>
      </c>
      <c r="BD648" s="12"/>
      <c r="BE648" s="12" t="s">
        <v>2291</v>
      </c>
      <c r="BF648" s="12"/>
      <c r="BG648" s="12"/>
      <c r="BH648" s="12"/>
      <c r="BI648" s="12" t="s">
        <v>3294</v>
      </c>
      <c r="BJ648" s="12"/>
      <c r="BK648" s="12"/>
      <c r="BL648" s="12" t="s">
        <v>2292</v>
      </c>
      <c r="BM648" s="12" t="s">
        <v>2292</v>
      </c>
      <c r="BN648" s="12" t="s">
        <v>2292</v>
      </c>
      <c r="BO648" s="12" t="s">
        <v>2292</v>
      </c>
      <c r="BP648" s="12"/>
      <c r="BQ648" s="12"/>
      <c r="BR648" s="12"/>
      <c r="BS648" s="12"/>
      <c r="BT648" s="12"/>
      <c r="BU648" s="12"/>
      <c r="BV648" s="12"/>
      <c r="BW648" s="12" t="s">
        <v>2277</v>
      </c>
      <c r="BX648" s="12"/>
      <c r="BY648" s="2" t="s">
        <v>344</v>
      </c>
      <c r="BZ648" s="13" t="s">
        <v>6170</v>
      </c>
      <c r="CA648" s="13" t="s">
        <v>6170</v>
      </c>
      <c r="CB648" s="13" t="s">
        <v>312</v>
      </c>
      <c r="CC648" s="13"/>
      <c r="CD648" s="13" t="s">
        <v>6198</v>
      </c>
      <c r="CE648" s="13"/>
      <c r="CF648" s="13"/>
    </row>
    <row r="649" spans="1:84" ht="18.600000000000001" customHeight="1" x14ac:dyDescent="0.25">
      <c r="A649" s="60" t="s">
        <v>243</v>
      </c>
      <c r="B649" s="2" t="s">
        <v>2281</v>
      </c>
      <c r="C649" s="3" t="s">
        <v>2814</v>
      </c>
      <c r="D649" s="12" t="s">
        <v>2279</v>
      </c>
      <c r="E649" s="12" t="s">
        <v>244</v>
      </c>
      <c r="F649" s="12" t="s">
        <v>4241</v>
      </c>
      <c r="G649" s="25">
        <v>4850985</v>
      </c>
      <c r="H649" s="25">
        <v>1760637</v>
      </c>
      <c r="I649" s="25">
        <v>1356647</v>
      </c>
      <c r="J649" s="25">
        <v>1103563</v>
      </c>
      <c r="K649" s="25">
        <v>22144406</v>
      </c>
      <c r="L649" s="25">
        <v>21777177</v>
      </c>
      <c r="M649" s="25">
        <v>43921583</v>
      </c>
      <c r="N649" s="31">
        <v>0.5</v>
      </c>
      <c r="O649" s="25">
        <v>93742</v>
      </c>
      <c r="P649" s="25">
        <v>6847351</v>
      </c>
      <c r="Q649" s="25">
        <v>295847</v>
      </c>
      <c r="R649" s="25">
        <v>9049</v>
      </c>
      <c r="S649" s="25">
        <v>70708</v>
      </c>
      <c r="T649" s="25">
        <v>10762</v>
      </c>
      <c r="U649" s="61">
        <v>243210</v>
      </c>
      <c r="V649" s="58">
        <v>6.7999999999999996E-3</v>
      </c>
      <c r="W649" s="33">
        <v>6.0000000000000001E-3</v>
      </c>
      <c r="X649" s="33">
        <v>3.3E-3</v>
      </c>
      <c r="Y649" s="33">
        <v>2.5999999999999999E-3</v>
      </c>
      <c r="Z649" s="33">
        <v>6.8999999999999999E-3</v>
      </c>
      <c r="AA649" s="33">
        <v>3.8999999999999998E-3</v>
      </c>
      <c r="AB649" s="25">
        <v>1838</v>
      </c>
      <c r="AC649" s="25">
        <v>306</v>
      </c>
      <c r="AD649" s="25">
        <v>3</v>
      </c>
      <c r="AE649" s="25">
        <v>1</v>
      </c>
      <c r="AF649" s="25">
        <v>1520</v>
      </c>
      <c r="AG649" s="25">
        <v>6</v>
      </c>
      <c r="AH649" s="25">
        <v>2</v>
      </c>
      <c r="AI649" s="12">
        <v>4.1900000000000004</v>
      </c>
      <c r="AJ649" s="25">
        <v>560598</v>
      </c>
      <c r="AK649" s="25">
        <v>274583</v>
      </c>
      <c r="AL649" s="33">
        <v>0.96</v>
      </c>
      <c r="AM649" s="3" t="s">
        <v>2814</v>
      </c>
      <c r="AN649" s="12" t="s">
        <v>244</v>
      </c>
      <c r="AO649" s="12" t="s">
        <v>244</v>
      </c>
      <c r="AP649" s="12" t="str">
        <f>"1402437823320030"</f>
        <v>1402437823320030</v>
      </c>
      <c r="AQ649" s="12" t="s">
        <v>2279</v>
      </c>
      <c r="AR649" s="12" t="s">
        <v>5940</v>
      </c>
      <c r="AS649" s="12" t="s">
        <v>5941</v>
      </c>
      <c r="AT649" s="12" t="s">
        <v>5942</v>
      </c>
      <c r="AU649" s="12" t="s">
        <v>309</v>
      </c>
      <c r="AV649" s="12"/>
      <c r="AW649" s="12"/>
      <c r="AX649" s="12">
        <v>0</v>
      </c>
      <c r="AY649" s="12">
        <v>60194</v>
      </c>
      <c r="AZ649" s="12">
        <v>0</v>
      </c>
      <c r="BA649" s="12" t="s">
        <v>2280</v>
      </c>
      <c r="BB649" s="12"/>
      <c r="BC649" s="12" t="s">
        <v>6979</v>
      </c>
      <c r="BD649" s="12"/>
      <c r="BE649" s="12" t="s">
        <v>2291</v>
      </c>
      <c r="BF649" s="12"/>
      <c r="BG649" s="12"/>
      <c r="BH649" s="12"/>
      <c r="BI649" s="12"/>
      <c r="BJ649" s="12"/>
      <c r="BK649" s="12"/>
      <c r="BL649" s="12" t="s">
        <v>2292</v>
      </c>
      <c r="BM649" s="12" t="s">
        <v>2292</v>
      </c>
      <c r="BN649" s="12" t="s">
        <v>2292</v>
      </c>
      <c r="BO649" s="12" t="s">
        <v>2292</v>
      </c>
      <c r="BP649" s="12"/>
      <c r="BQ649" s="12"/>
      <c r="BR649" s="12"/>
      <c r="BS649" s="12"/>
      <c r="BT649" s="12"/>
      <c r="BU649" s="12"/>
      <c r="BV649" s="12"/>
      <c r="BW649" s="12"/>
      <c r="BX649" s="12"/>
      <c r="BY649" s="13" t="s">
        <v>313</v>
      </c>
      <c r="BZ649" s="13" t="s">
        <v>6173</v>
      </c>
      <c r="CA649" s="13"/>
      <c r="CB649" s="13"/>
      <c r="CC649" s="13"/>
      <c r="CD649" s="13"/>
      <c r="CE649" s="13"/>
      <c r="CF649" s="13"/>
    </row>
    <row r="650" spans="1:84" ht="18.600000000000001" customHeight="1" x14ac:dyDescent="0.25">
      <c r="A650" s="60" t="s">
        <v>243</v>
      </c>
      <c r="B650" s="2" t="s">
        <v>5507</v>
      </c>
      <c r="C650" s="4" t="s">
        <v>5508</v>
      </c>
      <c r="D650" s="12" t="s">
        <v>5540</v>
      </c>
      <c r="E650" s="12" t="s">
        <v>5509</v>
      </c>
      <c r="F650" s="12" t="s">
        <v>5541</v>
      </c>
      <c r="G650" s="25">
        <v>4089</v>
      </c>
      <c r="H650" s="25">
        <v>2481</v>
      </c>
      <c r="I650" s="25">
        <v>256</v>
      </c>
      <c r="J650" s="25">
        <v>887</v>
      </c>
      <c r="K650" s="25">
        <v>1185</v>
      </c>
      <c r="L650" s="25">
        <v>1503</v>
      </c>
      <c r="M650" s="25">
        <v>2688</v>
      </c>
      <c r="N650" s="31">
        <v>0.44</v>
      </c>
      <c r="O650" s="25">
        <v>0</v>
      </c>
      <c r="P650" s="25">
        <v>0</v>
      </c>
      <c r="Q650" s="25">
        <v>398</v>
      </c>
      <c r="R650" s="25">
        <v>6</v>
      </c>
      <c r="S650" s="25">
        <v>11</v>
      </c>
      <c r="T650" s="25">
        <v>38</v>
      </c>
      <c r="U650" s="61">
        <v>12</v>
      </c>
      <c r="V650" s="58">
        <v>2.64E-2</v>
      </c>
      <c r="W650" s="33">
        <v>2.07E-2</v>
      </c>
      <c r="X650" s="33">
        <v>0</v>
      </c>
      <c r="Y650" s="33">
        <v>0</v>
      </c>
      <c r="Z650" s="33">
        <v>7.6799999999999993E-2</v>
      </c>
      <c r="AA650" s="12" t="s">
        <v>3926</v>
      </c>
      <c r="AB650" s="25">
        <v>120</v>
      </c>
      <c r="AC650" s="25">
        <v>109</v>
      </c>
      <c r="AD650" s="25">
        <v>5</v>
      </c>
      <c r="AE650" s="25">
        <v>1</v>
      </c>
      <c r="AF650" s="25">
        <v>5</v>
      </c>
      <c r="AG650" s="25">
        <v>0</v>
      </c>
      <c r="AH650" s="25">
        <v>0</v>
      </c>
      <c r="AI650" s="12">
        <v>0.27</v>
      </c>
      <c r="AJ650" s="25">
        <v>2935</v>
      </c>
      <c r="AK650" s="25">
        <v>0</v>
      </c>
      <c r="AL650" s="31">
        <v>0</v>
      </c>
      <c r="AM650" s="4" t="s">
        <v>5508</v>
      </c>
      <c r="AN650" s="12" t="s">
        <v>5509</v>
      </c>
      <c r="AO650" s="12" t="s">
        <v>5509</v>
      </c>
      <c r="AP650" s="12" t="str">
        <f>"1175583969241786"</f>
        <v>1175583969241786</v>
      </c>
      <c r="AQ650" s="12" t="s">
        <v>5540</v>
      </c>
      <c r="AR650" s="12" t="s">
        <v>5584</v>
      </c>
      <c r="AS650" s="12" t="s">
        <v>5585</v>
      </c>
      <c r="AT650" s="12"/>
      <c r="AU650" s="12" t="s">
        <v>309</v>
      </c>
      <c r="AV650" s="12" t="s">
        <v>5802</v>
      </c>
      <c r="AW650" s="12"/>
      <c r="AX650" s="12">
        <v>1</v>
      </c>
      <c r="AY650" s="12">
        <v>158</v>
      </c>
      <c r="AZ650" s="12">
        <v>0</v>
      </c>
      <c r="BA650" s="12" t="s">
        <v>5586</v>
      </c>
      <c r="BB650" s="12" t="s">
        <v>6685</v>
      </c>
      <c r="BC650" s="12" t="s">
        <v>6686</v>
      </c>
      <c r="BD650" s="12"/>
      <c r="BE650" s="12" t="s">
        <v>2291</v>
      </c>
      <c r="BF650" s="12"/>
      <c r="BG650" s="12"/>
      <c r="BH650" s="12"/>
      <c r="BI650" s="12" t="s">
        <v>5585</v>
      </c>
      <c r="BJ650" s="12"/>
      <c r="BK650" s="12"/>
      <c r="BL650" s="12" t="s">
        <v>2292</v>
      </c>
      <c r="BM650" s="12" t="s">
        <v>2292</v>
      </c>
      <c r="BN650" s="12" t="s">
        <v>2292</v>
      </c>
      <c r="BO650" s="12" t="s">
        <v>2292</v>
      </c>
      <c r="BP650" s="12"/>
      <c r="BQ650" s="12"/>
      <c r="BR650" s="12"/>
      <c r="BS650" s="12"/>
      <c r="BT650" s="12"/>
      <c r="BU650" s="12" t="s">
        <v>326</v>
      </c>
      <c r="BV650" s="12"/>
      <c r="BW650" s="12" t="s">
        <v>5587</v>
      </c>
      <c r="BX650" s="12"/>
      <c r="BY650" s="13" t="s">
        <v>313</v>
      </c>
      <c r="BZ650" s="13" t="s">
        <v>6170</v>
      </c>
      <c r="CA650" s="13" t="s">
        <v>6170</v>
      </c>
      <c r="CB650" s="13" t="s">
        <v>312</v>
      </c>
      <c r="CC650" s="13"/>
      <c r="CD650" s="13" t="s">
        <v>6198</v>
      </c>
      <c r="CE650" s="13"/>
      <c r="CF650" s="13"/>
    </row>
    <row r="651" spans="1:84" ht="18.600000000000001" customHeight="1" thickBot="1" x14ac:dyDescent="0.3">
      <c r="A651" s="64" t="s">
        <v>243</v>
      </c>
      <c r="B651" s="30" t="s">
        <v>335</v>
      </c>
      <c r="C651" s="32" t="s">
        <v>6166</v>
      </c>
      <c r="D651" s="21" t="s">
        <v>2282</v>
      </c>
      <c r="E651" s="21" t="s">
        <v>5646</v>
      </c>
      <c r="F651" s="21" t="s">
        <v>4420</v>
      </c>
      <c r="G651" s="65">
        <v>29334</v>
      </c>
      <c r="H651" s="65">
        <v>14746</v>
      </c>
      <c r="I651" s="65">
        <v>708</v>
      </c>
      <c r="J651" s="65">
        <v>12239</v>
      </c>
      <c r="K651" s="65">
        <v>18253</v>
      </c>
      <c r="L651" s="65">
        <v>43905</v>
      </c>
      <c r="M651" s="65">
        <v>62158</v>
      </c>
      <c r="N651" s="66">
        <v>0.28999999999999998</v>
      </c>
      <c r="O651" s="65">
        <v>4679</v>
      </c>
      <c r="P651" s="65">
        <v>319</v>
      </c>
      <c r="Q651" s="65">
        <v>1323</v>
      </c>
      <c r="R651" s="65">
        <v>38</v>
      </c>
      <c r="S651" s="65">
        <v>77</v>
      </c>
      <c r="T651" s="65">
        <v>76</v>
      </c>
      <c r="U651" s="67">
        <v>123</v>
      </c>
      <c r="V651" s="58">
        <v>2.7000000000000001E-3</v>
      </c>
      <c r="W651" s="33">
        <v>1.9E-3</v>
      </c>
      <c r="X651" s="33">
        <v>2.7000000000000001E-3</v>
      </c>
      <c r="Y651" s="33">
        <v>0</v>
      </c>
      <c r="Z651" s="33">
        <v>3.3E-3</v>
      </c>
      <c r="AA651" s="33">
        <v>1E-3</v>
      </c>
      <c r="AB651" s="25">
        <v>2254</v>
      </c>
      <c r="AC651" s="25">
        <v>300</v>
      </c>
      <c r="AD651" s="25">
        <v>1577</v>
      </c>
      <c r="AE651" s="25">
        <v>2</v>
      </c>
      <c r="AF651" s="25">
        <v>272</v>
      </c>
      <c r="AG651" s="25">
        <v>64</v>
      </c>
      <c r="AH651" s="25">
        <v>39</v>
      </c>
      <c r="AI651" s="12">
        <v>5.13</v>
      </c>
      <c r="AJ651" s="25">
        <v>5784</v>
      </c>
      <c r="AK651" s="25">
        <v>1929</v>
      </c>
      <c r="AL651" s="33">
        <v>0.50039999999999996</v>
      </c>
      <c r="AM651" s="3" t="s">
        <v>6166</v>
      </c>
      <c r="AN651" s="12" t="s">
        <v>5646</v>
      </c>
      <c r="AO651" s="12" t="s">
        <v>5646</v>
      </c>
      <c r="AP651" s="12" t="str">
        <f>"312167242326580"</f>
        <v>312167242326580</v>
      </c>
      <c r="AQ651" s="12" t="s">
        <v>2282</v>
      </c>
      <c r="AR651" s="12" t="s">
        <v>6401</v>
      </c>
      <c r="AS651" s="12" t="s">
        <v>6402</v>
      </c>
      <c r="AT651" s="12"/>
      <c r="AU651" s="12" t="s">
        <v>324</v>
      </c>
      <c r="AV651" s="12" t="s">
        <v>5731</v>
      </c>
      <c r="AW651" s="12"/>
      <c r="AX651" s="12">
        <v>42</v>
      </c>
      <c r="AY651" s="12">
        <v>201</v>
      </c>
      <c r="AZ651" s="12">
        <v>42</v>
      </c>
      <c r="BA651" s="12" t="s">
        <v>6403</v>
      </c>
      <c r="BB651" s="12" t="s">
        <v>6404</v>
      </c>
      <c r="BC651" s="12" t="s">
        <v>6405</v>
      </c>
      <c r="BD651" s="12"/>
      <c r="BE651" s="12" t="s">
        <v>2291</v>
      </c>
      <c r="BF651" s="12"/>
      <c r="BG651" s="12"/>
      <c r="BH651" s="12"/>
      <c r="BI651" s="12" t="s">
        <v>6406</v>
      </c>
      <c r="BJ651" s="12"/>
      <c r="BK651" s="12"/>
      <c r="BL651" s="12" t="s">
        <v>2292</v>
      </c>
      <c r="BM651" s="12" t="s">
        <v>2292</v>
      </c>
      <c r="BN651" s="12" t="s">
        <v>2292</v>
      </c>
      <c r="BO651" s="12" t="s">
        <v>2292</v>
      </c>
      <c r="BP651" s="12"/>
      <c r="BQ651" s="12"/>
      <c r="BR651" s="12"/>
      <c r="BS651" s="12"/>
      <c r="BT651" s="12">
        <v>2128064311</v>
      </c>
      <c r="BU651" s="12" t="s">
        <v>326</v>
      </c>
      <c r="BV651" s="12"/>
      <c r="BW651" s="12" t="s">
        <v>6407</v>
      </c>
      <c r="BX651" s="12"/>
      <c r="BY651" s="13" t="s">
        <v>313</v>
      </c>
      <c r="BZ651" s="13" t="s">
        <v>6170</v>
      </c>
      <c r="CA651" s="13" t="s">
        <v>6170</v>
      </c>
      <c r="CB651" s="13" t="s">
        <v>312</v>
      </c>
      <c r="CC651" s="13"/>
      <c r="CD651" s="13" t="s">
        <v>6198</v>
      </c>
      <c r="CE651" s="13"/>
      <c r="CF651" s="13"/>
    </row>
    <row r="652" spans="1:84" ht="18.600000000000001" customHeight="1" x14ac:dyDescent="0.25">
      <c r="A652" s="26"/>
      <c r="B652" s="26"/>
      <c r="C652" s="26"/>
      <c r="D652" s="26"/>
      <c r="E652" s="26"/>
      <c r="F652" s="26"/>
      <c r="G652" s="38"/>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row>
  </sheetData>
  <autoFilter ref="A2:CF2"/>
  <sortState ref="A3:CKN651">
    <sortCondition ref="A3:A651"/>
  </sortState>
  <hyperlinks>
    <hyperlink ref="C93" r:id="rId1"/>
    <hyperlink ref="C139" r:id="rId2"/>
    <hyperlink ref="C24" r:id="rId3"/>
    <hyperlink ref="C457" r:id="rId4"/>
    <hyperlink ref="C67" r:id="rId5"/>
    <hyperlink ref="C417" r:id="rId6"/>
    <hyperlink ref="C66" r:id="rId7"/>
    <hyperlink ref="C252" r:id="rId8"/>
    <hyperlink ref="C515" r:id="rId9"/>
    <hyperlink ref="C34" r:id="rId10"/>
    <hyperlink ref="C257" r:id="rId11"/>
    <hyperlink ref="C325" r:id="rId12"/>
    <hyperlink ref="C49" r:id="rId13"/>
    <hyperlink ref="C201" r:id="rId14"/>
    <hyperlink ref="C69" r:id="rId15"/>
    <hyperlink ref="C595" r:id="rId16"/>
    <hyperlink ref="C181" r:id="rId17"/>
    <hyperlink ref="C313" r:id="rId18"/>
    <hyperlink ref="C27" r:id="rId19"/>
    <hyperlink ref="C420" r:id="rId20"/>
    <hyperlink ref="C416" r:id="rId21"/>
    <hyperlink ref="C44" r:id="rId22"/>
    <hyperlink ref="C81" r:id="rId23"/>
    <hyperlink ref="C338" r:id="rId24"/>
    <hyperlink ref="C108" r:id="rId25"/>
    <hyperlink ref="C336" r:id="rId26"/>
    <hyperlink ref="C421" r:id="rId27"/>
    <hyperlink ref="C80" r:id="rId28"/>
    <hyperlink ref="C513" r:id="rId29"/>
    <hyperlink ref="C565" r:id="rId30"/>
    <hyperlink ref="C478" r:id="rId31"/>
    <hyperlink ref="C346" r:id="rId32"/>
    <hyperlink ref="C518" r:id="rId33"/>
    <hyperlink ref="C17" r:id="rId34"/>
    <hyperlink ref="C86" r:id="rId35"/>
    <hyperlink ref="C47" r:id="rId36"/>
    <hyperlink ref="C14" r:id="rId37"/>
    <hyperlink ref="C563" r:id="rId38"/>
    <hyperlink ref="C400" r:id="rId39"/>
    <hyperlink ref="C413" r:id="rId40"/>
    <hyperlink ref="C144" r:id="rId41"/>
    <hyperlink ref="C154" r:id="rId42"/>
    <hyperlink ref="C13" r:id="rId43"/>
    <hyperlink ref="C645" r:id="rId44"/>
    <hyperlink ref="C60" r:id="rId45"/>
    <hyperlink ref="C310" r:id="rId46"/>
    <hyperlink ref="C54" r:id="rId47"/>
    <hyperlink ref="C504" r:id="rId48"/>
    <hyperlink ref="C174" r:id="rId49"/>
    <hyperlink ref="C11" r:id="rId50"/>
    <hyperlink ref="C3" r:id="rId51"/>
    <hyperlink ref="C387" r:id="rId52"/>
    <hyperlink ref="C71" r:id="rId53"/>
    <hyperlink ref="C412" r:id="rId54"/>
    <hyperlink ref="C165" r:id="rId55"/>
    <hyperlink ref="C322" r:id="rId56"/>
    <hyperlink ref="C230" r:id="rId57"/>
    <hyperlink ref="C329" r:id="rId58"/>
    <hyperlink ref="C52" r:id="rId59"/>
    <hyperlink ref="C574" r:id="rId60"/>
    <hyperlink ref="C620" r:id="rId61"/>
    <hyperlink ref="C455" r:id="rId62"/>
    <hyperlink ref="C42" r:id="rId63"/>
    <hyperlink ref="C354" r:id="rId64"/>
    <hyperlink ref="C344" r:id="rId65"/>
    <hyperlink ref="C470" r:id="rId66"/>
    <hyperlink ref="C556" r:id="rId67"/>
    <hyperlink ref="C449" r:id="rId68"/>
    <hyperlink ref="C379" r:id="rId69"/>
    <hyperlink ref="C403" r:id="rId70"/>
    <hyperlink ref="C247" r:id="rId71"/>
    <hyperlink ref="C509" r:id="rId72"/>
    <hyperlink ref="C456" r:id="rId73"/>
    <hyperlink ref="C95" r:id="rId74"/>
    <hyperlink ref="C634" r:id="rId75"/>
    <hyperlink ref="C203" r:id="rId76"/>
    <hyperlink ref="C163" r:id="rId77"/>
    <hyperlink ref="C162" r:id="rId78"/>
    <hyperlink ref="C264" r:id="rId79"/>
    <hyperlink ref="C332" r:id="rId80"/>
    <hyperlink ref="C382" r:id="rId81"/>
    <hyperlink ref="C494" r:id="rId82"/>
    <hyperlink ref="C491" r:id="rId83"/>
    <hyperlink ref="C266" r:id="rId84"/>
    <hyperlink ref="C146" r:id="rId85"/>
    <hyperlink ref="C335" r:id="rId86"/>
    <hyperlink ref="C333" r:id="rId87"/>
    <hyperlink ref="C180" r:id="rId88"/>
    <hyperlink ref="C182" r:id="rId89"/>
    <hyperlink ref="C506" r:id="rId90"/>
    <hyperlink ref="C474" r:id="rId91"/>
    <hyperlink ref="C15" r:id="rId92"/>
    <hyperlink ref="C648" r:id="rId93"/>
    <hyperlink ref="C380" r:id="rId94"/>
    <hyperlink ref="C521" r:id="rId95"/>
    <hyperlink ref="C522" r:id="rId96"/>
    <hyperlink ref="C434" r:id="rId97"/>
    <hyperlink ref="C610" r:id="rId98"/>
    <hyperlink ref="C615" r:id="rId99"/>
    <hyperlink ref="C628" r:id="rId100"/>
    <hyperlink ref="C527" r:id="rId101"/>
    <hyperlink ref="C632" r:id="rId102"/>
    <hyperlink ref="C566" r:id="rId103"/>
    <hyperlink ref="C647" r:id="rId104"/>
    <hyperlink ref="C524" r:id="rId105"/>
    <hyperlink ref="C552" r:id="rId106"/>
    <hyperlink ref="C608" r:id="rId107"/>
    <hyperlink ref="C232" r:id="rId108"/>
    <hyperlink ref="C105" r:id="rId109"/>
    <hyperlink ref="C91" r:id="rId110"/>
    <hyperlink ref="C576" r:id="rId111"/>
    <hyperlink ref="C630" r:id="rId112"/>
    <hyperlink ref="C539" r:id="rId113"/>
    <hyperlink ref="C554" r:id="rId114"/>
    <hyperlink ref="C419" r:id="rId115"/>
    <hyperlink ref="C529" r:id="rId116"/>
    <hyperlink ref="C348" r:id="rId117"/>
    <hyperlink ref="C415" r:id="rId118"/>
    <hyperlink ref="C469" r:id="rId119"/>
    <hyperlink ref="C533" r:id="rId120"/>
    <hyperlink ref="C125" r:id="rId121"/>
    <hyperlink ref="C356" r:id="rId122"/>
    <hyperlink ref="C570" r:id="rId123"/>
    <hyperlink ref="C285" r:id="rId124"/>
    <hyperlink ref="C337" r:id="rId125"/>
    <hyperlink ref="C138" r:id="rId126"/>
    <hyperlink ref="C493" r:id="rId127"/>
    <hyperlink ref="C326" r:id="rId128"/>
    <hyperlink ref="C463" r:id="rId129"/>
    <hyperlink ref="C433" r:id="rId130"/>
    <hyperlink ref="C430" r:id="rId131"/>
    <hyperlink ref="C581" r:id="rId132"/>
    <hyperlink ref="C164" r:id="rId133"/>
    <hyperlink ref="C211" r:id="rId134"/>
    <hyperlink ref="C414" r:id="rId135"/>
    <hyperlink ref="C227" r:id="rId136"/>
    <hyperlink ref="C109" r:id="rId137"/>
    <hyperlink ref="C542" r:id="rId138"/>
    <hyperlink ref="C50" r:id="rId139"/>
    <hyperlink ref="C159" r:id="rId140"/>
    <hyperlink ref="C324" r:id="rId141"/>
    <hyperlink ref="C437" r:id="rId142"/>
    <hyperlink ref="C239" r:id="rId143"/>
    <hyperlink ref="C106" r:id="rId144"/>
    <hyperlink ref="C43" r:id="rId145"/>
    <hyperlink ref="C371" r:id="rId146"/>
    <hyperlink ref="C85" r:id="rId147"/>
    <hyperlink ref="C286" r:id="rId148"/>
    <hyperlink ref="C558" r:id="rId149"/>
    <hyperlink ref="C446" r:id="rId150"/>
    <hyperlink ref="C553" r:id="rId151"/>
    <hyperlink ref="C362" r:id="rId152"/>
    <hyperlink ref="C364" r:id="rId153"/>
    <hyperlink ref="C361" r:id="rId154"/>
    <hyperlink ref="C366" r:id="rId155"/>
    <hyperlink ref="C480" r:id="rId156"/>
    <hyperlink ref="C365" r:id="rId157"/>
    <hyperlink ref="C593" r:id="rId158"/>
    <hyperlink ref="C59" r:id="rId159"/>
    <hyperlink ref="C594" r:id="rId160"/>
    <hyperlink ref="C111" r:id="rId161"/>
    <hyperlink ref="C229" r:id="rId162"/>
    <hyperlink ref="C507" r:id="rId163"/>
    <hyperlink ref="C82" r:id="rId164"/>
    <hyperlink ref="C392" r:id="rId165"/>
    <hyperlink ref="C568" r:id="rId166"/>
    <hyperlink ref="C377" r:id="rId167"/>
    <hyperlink ref="C376" r:id="rId168"/>
    <hyperlink ref="C520" r:id="rId169"/>
    <hyperlink ref="C639" r:id="rId170"/>
    <hyperlink ref="C55" r:id="rId171"/>
    <hyperlink ref="C508" r:id="rId172"/>
    <hyperlink ref="C244" r:id="rId173"/>
    <hyperlink ref="C190" r:id="rId174"/>
    <hyperlink ref="C58" r:id="rId175"/>
    <hyperlink ref="C514" r:id="rId176"/>
    <hyperlink ref="C543" r:id="rId177"/>
    <hyperlink ref="C531" r:id="rId178"/>
    <hyperlink ref="C166" r:id="rId179"/>
    <hyperlink ref="C525" r:id="rId180"/>
    <hyperlink ref="C624" r:id="rId181"/>
    <hyperlink ref="C560" r:id="rId182"/>
    <hyperlink ref="C516" r:id="rId183"/>
    <hyperlink ref="C74" r:id="rId184"/>
    <hyperlink ref="C373" r:id="rId185"/>
    <hyperlink ref="C37" r:id="rId186"/>
    <hyperlink ref="C65" r:id="rId187"/>
    <hyperlink ref="C292" r:id="rId188"/>
    <hyperlink ref="C183" r:id="rId189"/>
    <hyperlink ref="C328" r:id="rId190"/>
    <hyperlink ref="C276" r:id="rId191"/>
    <hyperlink ref="C135" r:id="rId192"/>
    <hyperlink ref="C31" r:id="rId193"/>
    <hyperlink ref="C385" r:id="rId194"/>
    <hyperlink ref="C299" r:id="rId195"/>
    <hyperlink ref="C283" r:id="rId196"/>
    <hyperlink ref="C600" r:id="rId197"/>
    <hyperlink ref="C156" r:id="rId198"/>
    <hyperlink ref="C318" r:id="rId199"/>
    <hyperlink ref="C545" r:id="rId200"/>
    <hyperlink ref="C393" r:id="rId201"/>
    <hyperlink ref="C460" r:id="rId202"/>
    <hyperlink ref="C436" r:id="rId203"/>
    <hyperlink ref="C441" r:id="rId204"/>
    <hyperlink ref="C209" r:id="rId205"/>
    <hyperlink ref="C405" r:id="rId206"/>
    <hyperlink ref="C216" r:id="rId207"/>
    <hyperlink ref="C267" r:id="rId208"/>
    <hyperlink ref="C90" r:id="rId209"/>
    <hyperlink ref="C442" r:id="rId210"/>
    <hyperlink ref="C314" r:id="rId211"/>
    <hyperlink ref="C638" r:id="rId212"/>
    <hyperlink ref="C287" r:id="rId213"/>
    <hyperlink ref="C184" r:id="rId214"/>
    <hyperlink ref="C98" r:id="rId215"/>
    <hyperlink ref="C173" r:id="rId216"/>
    <hyperlink ref="C210" r:id="rId217"/>
    <hyperlink ref="C215" r:id="rId218"/>
    <hyperlink ref="C217" r:id="rId219"/>
    <hyperlink ref="C218" r:id="rId220"/>
    <hyperlink ref="C197" r:id="rId221"/>
    <hyperlink ref="C404" r:id="rId222"/>
    <hyperlink ref="C621" r:id="rId223"/>
    <hyperlink ref="C557" r:id="rId224"/>
    <hyperlink ref="C221" r:id="rId225"/>
    <hyperlink ref="C219" r:id="rId226"/>
    <hyperlink ref="C591" r:id="rId227"/>
    <hyperlink ref="C548" r:id="rId228"/>
    <hyperlink ref="C544" r:id="rId229"/>
    <hyperlink ref="C626" r:id="rId230"/>
    <hyperlink ref="C196" r:id="rId231"/>
    <hyperlink ref="C429" r:id="rId232"/>
    <hyperlink ref="C547" r:id="rId233"/>
    <hyperlink ref="C551" r:id="rId234"/>
    <hyperlink ref="C368" r:id="rId235"/>
    <hyperlink ref="C363" r:id="rId236"/>
    <hyperlink ref="C519" r:id="rId237"/>
    <hyperlink ref="C207" r:id="rId238"/>
    <hyperlink ref="C499" r:id="rId239"/>
    <hyperlink ref="C517" r:id="rId240"/>
    <hyperlink ref="C238" r:id="rId241"/>
    <hyperlink ref="C200" r:id="rId242"/>
    <hyperlink ref="C357" r:id="rId243"/>
    <hyperlink ref="C308" r:id="rId244"/>
    <hyperlink ref="C204" r:id="rId245"/>
    <hyperlink ref="C150" r:id="rId246"/>
    <hyperlink ref="C177" r:id="rId247"/>
    <hyperlink ref="C459" r:id="rId248"/>
    <hyperlink ref="C234" r:id="rId249"/>
    <hyperlink ref="C233" r:id="rId250"/>
    <hyperlink ref="C342" r:id="rId251"/>
    <hyperlink ref="C445" r:id="rId252"/>
    <hyperlink ref="C389" r:id="rId253"/>
    <hyperlink ref="C289" r:id="rId254"/>
    <hyperlink ref="C481" r:id="rId255"/>
    <hyperlink ref="C189" r:id="rId256"/>
    <hyperlink ref="C472" r:id="rId257"/>
    <hyperlink ref="C353" r:id="rId258"/>
    <hyperlink ref="C411" r:id="rId259"/>
    <hyperlink ref="C291" r:id="rId260"/>
    <hyperlink ref="C87" r:id="rId261"/>
    <hyperlink ref="C523" r:id="rId262"/>
    <hyperlink ref="C423" r:id="rId263"/>
    <hyperlink ref="C129" r:id="rId264"/>
    <hyperlink ref="C462" r:id="rId265"/>
    <hyperlink ref="C550" r:id="rId266"/>
    <hyperlink ref="C422" r:id="rId267"/>
    <hyperlink ref="C439" r:id="rId268"/>
    <hyperlink ref="C112" r:id="rId269"/>
    <hyperlink ref="C302" r:id="rId270"/>
    <hyperlink ref="C97" r:id="rId271"/>
    <hyperlink ref="C590" r:id="rId272"/>
    <hyperlink ref="C431" r:id="rId273"/>
    <hyperlink ref="C526" r:id="rId274"/>
    <hyperlink ref="C483" r:id="rId275"/>
    <hyperlink ref="C374" r:id="rId276"/>
    <hyperlink ref="C607" r:id="rId277"/>
    <hyperlink ref="C195" r:id="rId278"/>
    <hyperlink ref="C398" r:id="rId279"/>
    <hyperlink ref="C492" r:id="rId280"/>
    <hyperlink ref="C168" r:id="rId281"/>
    <hyperlink ref="C170" r:id="rId282"/>
    <hyperlink ref="C140" r:id="rId283"/>
    <hyperlink ref="C386" r:id="rId284"/>
    <hyperlink ref="C309" r:id="rId285"/>
    <hyperlink ref="C172" r:id="rId286"/>
    <hyperlink ref="C341" r:id="rId287"/>
    <hyperlink ref="C45" r:id="rId288"/>
    <hyperlink ref="C46" r:id="rId289"/>
    <hyperlink ref="C51" r:id="rId290"/>
    <hyperlink ref="C191" r:id="rId291"/>
    <hyperlink ref="C185" r:id="rId292"/>
    <hyperlink ref="C394" r:id="rId293"/>
    <hyperlink ref="C408" r:id="rId294"/>
    <hyperlink ref="C260" r:id="rId295"/>
    <hyperlink ref="C261" r:id="rId296"/>
    <hyperlink ref="C477" r:id="rId297"/>
    <hyperlink ref="C133" r:id="rId298"/>
    <hyperlink ref="C242" r:id="rId299"/>
    <hyperlink ref="C616" r:id="rId300"/>
    <hyperlink ref="C464" r:id="rId301"/>
    <hyperlink ref="C535" r:id="rId302"/>
    <hyperlink ref="C546" r:id="rId303"/>
    <hyperlink ref="C614" r:id="rId304"/>
    <hyperlink ref="C444" r:id="rId305"/>
    <hyperlink ref="C541" r:id="rId306"/>
    <hyperlink ref="C443" r:id="rId307"/>
    <hyperlink ref="C208" r:id="rId308"/>
    <hyperlink ref="C321" r:id="rId309"/>
    <hyperlink ref="C612" r:id="rId310"/>
    <hyperlink ref="C536" r:id="rId311"/>
    <hyperlink ref="C475" r:id="rId312"/>
    <hyperlink ref="C89" r:id="rId313"/>
    <hyperlink ref="C212" r:id="rId314"/>
    <hyperlink ref="C223" r:id="rId315"/>
    <hyperlink ref="C224" r:id="rId316"/>
    <hyperlink ref="C269" r:id="rId317"/>
    <hyperlink ref="C278" r:id="rId318"/>
    <hyperlink ref="C158" r:id="rId319"/>
    <hyperlink ref="C175" r:id="rId320"/>
    <hyperlink ref="C83" r:id="rId321"/>
    <hyperlink ref="C273" r:id="rId322"/>
    <hyperlink ref="C301" r:id="rId323"/>
    <hyperlink ref="C300" r:id="rId324"/>
    <hyperlink ref="C240" r:id="rId325"/>
    <hyperlink ref="C265" r:id="rId326"/>
    <hyperlink ref="C268" r:id="rId327"/>
    <hyperlink ref="C272" r:id="rId328"/>
    <hyperlink ref="C316" r:id="rId329"/>
    <hyperlink ref="C635" r:id="rId330"/>
    <hyperlink ref="C642" r:id="rId331"/>
    <hyperlink ref="C114" r:id="rId332"/>
    <hyperlink ref="C263" r:id="rId333"/>
    <hyperlink ref="C77" r:id="rId334"/>
    <hyperlink ref="C473" r:id="rId335"/>
    <hyperlink ref="C351" r:id="rId336"/>
    <hyperlink ref="C245" r:id="rId337"/>
    <hyperlink ref="C57" r:id="rId338"/>
    <hyperlink ref="C110" r:id="rId339"/>
    <hyperlink ref="C192" r:id="rId340"/>
    <hyperlink ref="C214" r:id="rId341"/>
    <hyperlink ref="C649" r:id="rId342"/>
    <hyperlink ref="C347" r:id="rId343"/>
    <hyperlink ref="C367" r:id="rId344"/>
    <hyperlink ref="C107" r:id="rId345"/>
    <hyperlink ref="C636" r:id="rId346"/>
    <hyperlink ref="C579" r:id="rId347"/>
    <hyperlink ref="C155" r:id="rId348"/>
    <hyperlink ref="C388" r:id="rId349"/>
    <hyperlink ref="C231" r:id="rId350"/>
    <hyperlink ref="C116" r:id="rId351"/>
    <hyperlink ref="C577" r:id="rId352"/>
    <hyperlink ref="C40" r:id="rId353"/>
    <hyperlink ref="C479" r:id="rId354"/>
    <hyperlink ref="C440" r:id="rId355"/>
    <hyperlink ref="C402" r:id="rId356"/>
    <hyperlink ref="C277" r:id="rId357"/>
    <hyperlink ref="C401" r:id="rId358"/>
    <hyperlink ref="C122" r:id="rId359"/>
    <hyperlink ref="C8" r:id="rId360"/>
    <hyperlink ref="C25" r:id="rId361"/>
    <hyperlink ref="C435" r:id="rId362"/>
    <hyperlink ref="C646" r:id="rId363"/>
    <hyperlink ref="C496" r:id="rId364"/>
    <hyperlink ref="C270" r:id="rId365"/>
    <hyperlink ref="C88" r:id="rId366"/>
    <hyperlink ref="C179" r:id="rId367"/>
    <hyperlink ref="C193" r:id="rId368"/>
    <hyperlink ref="C228" r:id="rId369"/>
    <hyperlink ref="C246" r:id="rId370"/>
    <hyperlink ref="C602" r:id="rId371"/>
    <hyperlink ref="C454" r:id="rId372"/>
    <hyperlink ref="C619" r:id="rId373"/>
    <hyperlink ref="C582" r:id="rId374"/>
    <hyperlink ref="C643" r:id="rId375"/>
    <hyperlink ref="C26" r:id="rId376"/>
    <hyperlink ref="C613" r:id="rId377"/>
    <hyperlink ref="C206" r:id="rId378"/>
    <hyperlink ref="C19" r:id="rId379"/>
    <hyperlink ref="C113" r:id="rId380"/>
    <hyperlink ref="C99" r:id="rId381"/>
    <hyperlink ref="C147" r:id="rId382"/>
    <hyperlink ref="C9" r:id="rId383"/>
    <hyperlink ref="C23" r:id="rId384"/>
    <hyperlink ref="C72" r:id="rId385"/>
    <hyperlink ref="C149" r:id="rId386"/>
    <hyperlink ref="C53" r:id="rId387"/>
    <hyperlink ref="C63" r:id="rId388"/>
    <hyperlink ref="C124" r:id="rId389"/>
    <hyperlink ref="C143" r:id="rId390"/>
    <hyperlink ref="C28" r:id="rId391"/>
    <hyperlink ref="C627" r:id="rId392"/>
    <hyperlink ref="C564" r:id="rId393"/>
    <hyperlink ref="C538" r:id="rId394"/>
    <hyperlink ref="C559" r:id="rId395"/>
    <hyperlink ref="C644" r:id="rId396"/>
    <hyperlink ref="C641" r:id="rId397"/>
    <hyperlink ref="C534" r:id="rId398"/>
    <hyperlink ref="C250" r:id="rId399"/>
    <hyperlink ref="C134" r:id="rId400"/>
    <hyperlink ref="C340" r:id="rId401"/>
    <hyperlink ref="C497" r:id="rId402"/>
    <hyperlink ref="C61" r:id="rId403"/>
    <hyperlink ref="C528" r:id="rId404"/>
    <hyperlink ref="C282" r:id="rId405"/>
    <hyperlink ref="C78" r:id="rId406"/>
    <hyperlink ref="C171" r:id="rId407"/>
    <hyperlink ref="C396" r:id="rId408"/>
    <hyperlink ref="C188" r:id="rId409"/>
    <hyperlink ref="C596" r:id="rId410"/>
    <hyperlink ref="C428" r:id="rId411"/>
    <hyperlink ref="C118" r:id="rId412"/>
    <hyperlink ref="C249" r:id="rId413"/>
    <hyperlink ref="C152" r:id="rId414"/>
    <hyperlink ref="C38" r:id="rId415"/>
    <hyperlink ref="C241" r:id="rId416"/>
    <hyperlink ref="C349" r:id="rId417"/>
    <hyperlink ref="C549" r:id="rId418"/>
    <hyperlink ref="C32" r:id="rId419"/>
    <hyperlink ref="C39" r:id="rId420"/>
    <hyperlink ref="C235" r:id="rId421"/>
    <hyperlink ref="C236" r:id="rId422"/>
    <hyperlink ref="C237" r:id="rId423"/>
    <hyperlink ref="C298" r:id="rId424"/>
    <hyperlink ref="C279" r:id="rId425"/>
    <hyperlink ref="C123" r:id="rId426"/>
    <hyperlink ref="C225" r:id="rId427"/>
    <hyperlink ref="C275" r:id="rId428"/>
    <hyperlink ref="C303" r:id="rId429"/>
    <hyperlink ref="C358" r:id="rId430"/>
    <hyperlink ref="C145" r:id="rId431"/>
    <hyperlink ref="C487" r:id="rId432"/>
    <hyperlink ref="C213" r:id="rId433"/>
    <hyperlink ref="C226" r:id="rId434"/>
    <hyperlink ref="C18" r:id="rId435"/>
    <hyperlink ref="C281" r:id="rId436"/>
    <hyperlink ref="C205" r:id="rId437"/>
    <hyperlink ref="C567" r:id="rId438"/>
    <hyperlink ref="C119" r:id="rId439"/>
    <hyperlink ref="C115" r:id="rId440"/>
    <hyperlink ref="C575" r:id="rId441"/>
    <hyperlink ref="C167" r:id="rId442"/>
    <hyperlink ref="C601" r:id="rId443"/>
    <hyperlink ref="C136" r:id="rId444"/>
    <hyperlink ref="C251" r:id="rId445"/>
    <hyperlink ref="C35" r:id="rId446"/>
    <hyperlink ref="C288" r:id="rId447"/>
    <hyperlink ref="C330" r:id="rId448"/>
    <hyperlink ref="C555" r:id="rId449"/>
    <hyperlink ref="C623" r:id="rId450"/>
    <hyperlink ref="C199" r:id="rId451"/>
    <hyperlink ref="C617" r:id="rId452"/>
    <hyperlink ref="C573" r:id="rId453"/>
    <hyperlink ref="C304" r:id="rId454"/>
    <hyperlink ref="C131" r:id="rId455"/>
    <hyperlink ref="C220" r:id="rId456"/>
    <hyperlink ref="C561" r:id="rId457"/>
    <hyperlink ref="C537" r:id="rId458"/>
    <hyperlink ref="C79" r:id="rId459"/>
    <hyperlink ref="C96" r:id="rId460"/>
    <hyperlink ref="C160" r:id="rId461"/>
    <hyperlink ref="C126" r:id="rId462"/>
    <hyperlink ref="C153" r:id="rId463"/>
    <hyperlink ref="C482" r:id="rId464"/>
    <hyperlink ref="C359" r:id="rId465"/>
    <hyperlink ref="C532" r:id="rId466"/>
    <hyperlink ref="C530" r:id="rId467"/>
    <hyperlink ref="C194" r:id="rId468"/>
    <hyperlink ref="C484" r:id="rId469"/>
    <hyperlink ref="C307" r:id="rId470"/>
    <hyperlink ref="C490" r:id="rId471"/>
    <hyperlink ref="C488" r:id="rId472"/>
    <hyperlink ref="C578" r:id="rId473"/>
    <hyperlink ref="C311" r:id="rId474"/>
    <hyperlink ref="C312" r:id="rId475"/>
    <hyperlink ref="C502" r:id="rId476"/>
    <hyperlink ref="C503" r:id="rId477"/>
    <hyperlink ref="C489" r:id="rId478"/>
    <hyperlink ref="C178" r:id="rId479"/>
    <hyperlink ref="C383" r:id="rId480"/>
    <hyperlink ref="C384" r:id="rId481"/>
    <hyperlink ref="C151" r:id="rId482"/>
    <hyperlink ref="C495" r:id="rId483"/>
    <hyperlink ref="C141" r:id="rId484"/>
    <hyperlink ref="C315" r:id="rId485"/>
    <hyperlink ref="C355" r:id="rId486"/>
    <hyperlink ref="C157" r:id="rId487"/>
    <hyperlink ref="C505" r:id="rId488"/>
    <hyperlink ref="C501" r:id="rId489"/>
    <hyperlink ref="C500" r:id="rId490"/>
    <hyperlink ref="C369" r:id="rId491"/>
    <hyperlink ref="C350" r:id="rId492"/>
    <hyperlink ref="C343" r:id="rId493"/>
    <hyperlink ref="C587" r:id="rId494"/>
    <hyperlink ref="C586" r:id="rId495"/>
    <hyperlink ref="C584" r:id="rId496"/>
    <hyperlink ref="C588" r:id="rId497"/>
    <hyperlink ref="C589" r:id="rId498"/>
    <hyperlink ref="C585" r:id="rId499"/>
    <hyperlink ref="C395" r:id="rId500"/>
    <hyperlink ref="C448" r:id="rId501"/>
    <hyperlink ref="C410" r:id="rId502"/>
    <hyperlink ref="C360" r:id="rId503"/>
    <hyperlink ref="C562" r:id="rId504"/>
    <hyperlink ref="C592" r:id="rId505"/>
    <hyperlink ref="C293" r:id="rId506"/>
    <hyperlink ref="C425" r:id="rId507"/>
    <hyperlink ref="C468" r:id="rId508"/>
    <hyperlink ref="C476" r:id="rId509"/>
    <hyperlink ref="C498" r:id="rId510"/>
    <hyperlink ref="C62" r:id="rId511"/>
    <hyperlink ref="C467" r:id="rId512"/>
    <hyperlink ref="C583" r:id="rId513"/>
    <hyperlink ref="C248" r:id="rId514"/>
    <hyperlink ref="C453" r:id="rId515"/>
    <hyperlink ref="C117" r:id="rId516"/>
    <hyperlink ref="C202" r:id="rId517"/>
    <hyperlink ref="C101" r:id="rId518"/>
    <hyperlink ref="C120" r:id="rId519"/>
    <hyperlink ref="C258" r:id="rId520"/>
    <hyperlink ref="C345" r:id="rId521"/>
    <hyperlink ref="C148" r:id="rId522"/>
    <hyperlink ref="C130" r:id="rId523"/>
    <hyperlink ref="C169" r:id="rId524"/>
    <hyperlink ref="C450" r:id="rId525"/>
    <hyperlink ref="C629" r:id="rId526"/>
    <hyperlink ref="C243" r:id="rId527"/>
    <hyperlink ref="C6" r:id="rId528"/>
    <hyperlink ref="C609" r:id="rId529"/>
    <hyperlink ref="C20" r:id="rId530"/>
    <hyperlink ref="C21" r:id="rId531"/>
    <hyperlink ref="C73" r:id="rId532"/>
    <hyperlink ref="C41" r:id="rId533"/>
    <hyperlink ref="C16" r:id="rId534"/>
    <hyperlink ref="C64" r:id="rId535"/>
    <hyperlink ref="C70" r:id="rId536"/>
    <hyperlink ref="C132" r:id="rId537"/>
    <hyperlink ref="C12" r:id="rId538"/>
    <hyperlink ref="C10" r:id="rId539"/>
    <hyperlink ref="C603" r:id="rId540"/>
    <hyperlink ref="C461" r:id="rId541"/>
    <hyperlink ref="C323" r:id="rId542"/>
    <hyperlink ref="C511" r:id="rId543"/>
    <hyperlink ref="C370" r:id="rId544"/>
    <hyperlink ref="C372" r:id="rId545"/>
    <hyperlink ref="C375" r:id="rId546"/>
    <hyperlink ref="C294" r:id="rId547"/>
    <hyperlink ref="C397" r:id="rId548"/>
    <hyperlink ref="C465" r:id="rId549"/>
    <hyperlink ref="C432" r:id="rId550"/>
    <hyperlink ref="C284" r:id="rId551"/>
    <hyperlink ref="C255" r:id="rId552"/>
    <hyperlink ref="C424" r:id="rId553"/>
    <hyperlink ref="C426" r:id="rId554"/>
    <hyperlink ref="C427" r:id="rId555"/>
    <hyperlink ref="C274" r:id="rId556"/>
    <hyperlink ref="C571" r:id="rId557"/>
    <hyperlink ref="C305" r:id="rId558"/>
    <hyperlink ref="C306" r:id="rId559"/>
    <hyperlink ref="C512" r:id="rId560"/>
    <hyperlink ref="C637" r:id="rId561"/>
    <hyperlink ref="C640" r:id="rId562"/>
    <hyperlink ref="C569" r:id="rId563"/>
    <hyperlink ref="C452" r:id="rId564"/>
    <hyperlink ref="C198" r:id="rId565"/>
    <hyperlink ref="C254" r:id="rId566"/>
    <hyperlink ref="C317" r:id="rId567"/>
    <hyperlink ref="C92" r:id="rId568"/>
    <hyperlink ref="C296" r:id="rId569"/>
    <hyperlink ref="C295" r:id="rId570"/>
    <hyperlink ref="C466" r:id="rId571"/>
    <hyperlink ref="C142" r:id="rId572"/>
    <hyperlink ref="C580" r:id="rId573"/>
    <hyperlink ref="C334" r:id="rId574"/>
    <hyperlink ref="C599" r:id="rId575"/>
    <hyperlink ref="C121" r:id="rId576"/>
    <hyperlink ref="C33" r:id="rId577"/>
    <hyperlink ref="C176" r:id="rId578"/>
    <hyperlink ref="C186" r:id="rId579"/>
    <hyperlink ref="C618" r:id="rId580"/>
    <hyperlink ref="C297" r:id="rId581"/>
    <hyperlink ref="C352" r:id="rId582"/>
    <hyperlink ref="C650" r:id="rId583"/>
    <hyperlink ref="C540" r:id="rId584"/>
    <hyperlink ref="C7" r:id="rId585"/>
    <hyperlink ref="C271" r:id="rId586"/>
    <hyperlink ref="C406" r:id="rId587"/>
    <hyperlink ref="C407" r:id="rId588"/>
    <hyperlink ref="C486" r:id="rId589"/>
    <hyperlink ref="C391" r:id="rId590"/>
    <hyperlink ref="C256" r:id="rId591"/>
    <hyperlink ref="C259" r:id="rId592"/>
    <hyperlink ref="C222" r:id="rId593"/>
    <hyperlink ref="C4" r:id="rId594"/>
    <hyperlink ref="C447" r:id="rId595"/>
    <hyperlink ref="C485" r:id="rId596"/>
    <hyperlink ref="C597" r:id="rId597"/>
    <hyperlink ref="C598" r:id="rId598"/>
    <hyperlink ref="C631" r:id="rId599"/>
    <hyperlink ref="C622" r:id="rId600"/>
    <hyperlink ref="C84" r:id="rId601"/>
    <hyperlink ref="C572" r:id="rId602"/>
    <hyperlink ref="C48" r:id="rId603"/>
    <hyperlink ref="C100" r:id="rId604"/>
    <hyperlink ref="C102" r:id="rId605"/>
    <hyperlink ref="C103" r:id="rId606"/>
    <hyperlink ref="C104" r:id="rId607"/>
    <hyperlink ref="C327" r:id="rId608"/>
    <hyperlink ref="C36" r:id="rId609"/>
    <hyperlink ref="C75" r:id="rId610"/>
    <hyperlink ref="C76" r:id="rId611"/>
    <hyperlink ref="C94" r:id="rId612"/>
    <hyperlink ref="C161" r:id="rId613"/>
    <hyperlink ref="C253" r:id="rId614"/>
    <hyperlink ref="C331" r:id="rId615"/>
    <hyperlink ref="C438" r:id="rId616"/>
    <hyperlink ref="C458" r:id="rId617"/>
    <hyperlink ref="C128" r:id="rId618"/>
    <hyperlink ref="C605" r:id="rId619"/>
    <hyperlink ref="C604" r:id="rId620"/>
    <hyperlink ref="C606" r:id="rId621"/>
    <hyperlink ref="C280" r:id="rId622"/>
    <hyperlink ref="C651" r:id="rId623"/>
    <hyperlink ref="C290" r:id="rId624"/>
    <hyperlink ref="C418" r:id="rId625"/>
    <hyperlink ref="C451" r:id="rId626"/>
    <hyperlink ref="C320" r:id="rId627"/>
    <hyperlink ref="C5" r:id="rId628"/>
    <hyperlink ref="C22" r:id="rId629"/>
    <hyperlink ref="C29" r:id="rId630"/>
    <hyperlink ref="C30" r:id="rId631"/>
    <hyperlink ref="C56" r:id="rId632"/>
    <hyperlink ref="C68" r:id="rId633"/>
    <hyperlink ref="C127" r:id="rId634"/>
    <hyperlink ref="C187" r:id="rId635"/>
    <hyperlink ref="C262" r:id="rId636"/>
    <hyperlink ref="C319" r:id="rId637"/>
    <hyperlink ref="C339" r:id="rId638"/>
    <hyperlink ref="C378" r:id="rId639"/>
    <hyperlink ref="C390" r:id="rId640"/>
    <hyperlink ref="C399" r:id="rId641"/>
    <hyperlink ref="C409" r:id="rId642"/>
    <hyperlink ref="C471" r:id="rId643"/>
    <hyperlink ref="C510" r:id="rId644"/>
    <hyperlink ref="C611" r:id="rId645"/>
    <hyperlink ref="C625" r:id="rId646"/>
    <hyperlink ref="C633" r:id="rId647"/>
    <hyperlink ref="C137" r:id="rId648"/>
    <hyperlink ref="C381" r:id="rId649"/>
    <hyperlink ref="AM93" r:id="rId650"/>
    <hyperlink ref="AM139" r:id="rId651"/>
    <hyperlink ref="AM24" r:id="rId652"/>
    <hyperlink ref="AM457" r:id="rId653"/>
    <hyperlink ref="AM67" r:id="rId654"/>
    <hyperlink ref="AM417" r:id="rId655"/>
    <hyperlink ref="AM66" r:id="rId656"/>
    <hyperlink ref="AM252" r:id="rId657"/>
    <hyperlink ref="AM515" r:id="rId658"/>
    <hyperlink ref="AM34" r:id="rId659"/>
    <hyperlink ref="AM257" r:id="rId660"/>
    <hyperlink ref="AM325" r:id="rId661"/>
    <hyperlink ref="AM49" r:id="rId662"/>
    <hyperlink ref="AM201" r:id="rId663"/>
    <hyperlink ref="AM69" r:id="rId664"/>
    <hyperlink ref="AM595" r:id="rId665"/>
    <hyperlink ref="AM181" r:id="rId666"/>
    <hyperlink ref="AM313" r:id="rId667"/>
    <hyperlink ref="AM27" r:id="rId668"/>
    <hyperlink ref="AM420" r:id="rId669"/>
    <hyperlink ref="AM416" r:id="rId670"/>
    <hyperlink ref="AM44" r:id="rId671"/>
    <hyperlink ref="AM81" r:id="rId672"/>
    <hyperlink ref="AM338" r:id="rId673"/>
    <hyperlink ref="AM108" r:id="rId674"/>
    <hyperlink ref="AM336" r:id="rId675"/>
    <hyperlink ref="AM421" r:id="rId676"/>
    <hyperlink ref="AM80" r:id="rId677"/>
    <hyperlink ref="AM513" r:id="rId678"/>
    <hyperlink ref="AM565" r:id="rId679"/>
    <hyperlink ref="AM478" r:id="rId680"/>
    <hyperlink ref="AM346" r:id="rId681"/>
    <hyperlink ref="AM518" r:id="rId682"/>
    <hyperlink ref="AM17" r:id="rId683"/>
    <hyperlink ref="AM86" r:id="rId684"/>
    <hyperlink ref="AM47" r:id="rId685"/>
    <hyperlink ref="AM14" r:id="rId686"/>
    <hyperlink ref="AM563" r:id="rId687"/>
    <hyperlink ref="AM400" r:id="rId688"/>
    <hyperlink ref="AM413" r:id="rId689"/>
    <hyperlink ref="AM144" r:id="rId690"/>
    <hyperlink ref="AM154" r:id="rId691"/>
    <hyperlink ref="AM13" r:id="rId692"/>
    <hyperlink ref="AM645" r:id="rId693"/>
    <hyperlink ref="AM60" r:id="rId694"/>
    <hyperlink ref="AM310" r:id="rId695"/>
    <hyperlink ref="AM54" r:id="rId696"/>
    <hyperlink ref="AM504" r:id="rId697"/>
    <hyperlink ref="AM174" r:id="rId698"/>
    <hyperlink ref="AM11" r:id="rId699"/>
    <hyperlink ref="AM3" r:id="rId700"/>
    <hyperlink ref="AM387" r:id="rId701"/>
    <hyperlink ref="AM71" r:id="rId702"/>
    <hyperlink ref="AM412" r:id="rId703"/>
    <hyperlink ref="AM165" r:id="rId704"/>
    <hyperlink ref="AM322" r:id="rId705"/>
    <hyperlink ref="AM230" r:id="rId706"/>
    <hyperlink ref="AM329" r:id="rId707"/>
    <hyperlink ref="AM52" r:id="rId708"/>
    <hyperlink ref="AM574" r:id="rId709"/>
    <hyperlink ref="AM620" r:id="rId710"/>
    <hyperlink ref="AM455" r:id="rId711"/>
    <hyperlink ref="AM42" r:id="rId712"/>
    <hyperlink ref="AM354" r:id="rId713"/>
    <hyperlink ref="AM344" r:id="rId714"/>
    <hyperlink ref="AM470" r:id="rId715"/>
    <hyperlink ref="AM556" r:id="rId716"/>
    <hyperlink ref="AM449" r:id="rId717"/>
    <hyperlink ref="AM379" r:id="rId718"/>
    <hyperlink ref="AM403" r:id="rId719"/>
    <hyperlink ref="AM247" r:id="rId720"/>
    <hyperlink ref="AM509" r:id="rId721"/>
    <hyperlink ref="AM456" r:id="rId722"/>
    <hyperlink ref="AM95" r:id="rId723"/>
    <hyperlink ref="AM634" r:id="rId724"/>
    <hyperlink ref="AM203" r:id="rId725"/>
    <hyperlink ref="AM163" r:id="rId726"/>
    <hyperlink ref="AM162" r:id="rId727"/>
    <hyperlink ref="AM264" r:id="rId728"/>
    <hyperlink ref="AM332" r:id="rId729"/>
    <hyperlink ref="AM382" r:id="rId730"/>
    <hyperlink ref="AM494" r:id="rId731"/>
    <hyperlink ref="AM491" r:id="rId732"/>
    <hyperlink ref="AM266" r:id="rId733"/>
    <hyperlink ref="AM146" r:id="rId734"/>
    <hyperlink ref="AM335" r:id="rId735"/>
    <hyperlink ref="AM333" r:id="rId736"/>
    <hyperlink ref="AM180" r:id="rId737"/>
    <hyperlink ref="AM182" r:id="rId738"/>
    <hyperlink ref="AM506" r:id="rId739"/>
    <hyperlink ref="AM474" r:id="rId740"/>
    <hyperlink ref="AM15" r:id="rId741"/>
    <hyperlink ref="AM648" r:id="rId742"/>
    <hyperlink ref="AM380" r:id="rId743"/>
    <hyperlink ref="AM521" r:id="rId744"/>
    <hyperlink ref="AM522" r:id="rId745"/>
    <hyperlink ref="AM434" r:id="rId746"/>
    <hyperlink ref="AM610" r:id="rId747"/>
    <hyperlink ref="AM615" r:id="rId748"/>
    <hyperlink ref="AM628" r:id="rId749"/>
    <hyperlink ref="AM527" r:id="rId750"/>
    <hyperlink ref="AM632" r:id="rId751"/>
    <hyperlink ref="AM566" r:id="rId752"/>
    <hyperlink ref="AM647" r:id="rId753"/>
    <hyperlink ref="AM524" r:id="rId754"/>
    <hyperlink ref="AM552" r:id="rId755"/>
    <hyperlink ref="AM608" r:id="rId756"/>
    <hyperlink ref="AM232" r:id="rId757"/>
    <hyperlink ref="AM105" r:id="rId758"/>
    <hyperlink ref="AM91" r:id="rId759"/>
    <hyperlink ref="AM576" r:id="rId760"/>
    <hyperlink ref="AM630" r:id="rId761"/>
    <hyperlink ref="AM539" r:id="rId762"/>
    <hyperlink ref="AM554" r:id="rId763"/>
    <hyperlink ref="AM419" r:id="rId764"/>
    <hyperlink ref="AM529" r:id="rId765"/>
    <hyperlink ref="AM348" r:id="rId766"/>
    <hyperlink ref="AM415" r:id="rId767"/>
    <hyperlink ref="AM469" r:id="rId768"/>
    <hyperlink ref="AM533" r:id="rId769"/>
    <hyperlink ref="AM125" r:id="rId770"/>
    <hyperlink ref="AM356" r:id="rId771"/>
    <hyperlink ref="AM570" r:id="rId772"/>
    <hyperlink ref="AM285" r:id="rId773"/>
    <hyperlink ref="AM337" r:id="rId774"/>
    <hyperlink ref="AM138" r:id="rId775"/>
    <hyperlink ref="AM493" r:id="rId776"/>
    <hyperlink ref="AM326" r:id="rId777"/>
    <hyperlink ref="AM463" r:id="rId778"/>
    <hyperlink ref="AM433" r:id="rId779"/>
    <hyperlink ref="AM430" r:id="rId780"/>
    <hyperlink ref="AM581" r:id="rId781"/>
    <hyperlink ref="AM164" r:id="rId782"/>
    <hyperlink ref="AM211" r:id="rId783"/>
    <hyperlink ref="AM414" r:id="rId784"/>
    <hyperlink ref="AM227" r:id="rId785"/>
    <hyperlink ref="AM109" r:id="rId786"/>
    <hyperlink ref="AM542" r:id="rId787"/>
    <hyperlink ref="AM50" r:id="rId788"/>
    <hyperlink ref="AM159" r:id="rId789"/>
    <hyperlink ref="AM324" r:id="rId790"/>
    <hyperlink ref="AM437" r:id="rId791"/>
    <hyperlink ref="AM239" r:id="rId792"/>
    <hyperlink ref="AM106" r:id="rId793"/>
    <hyperlink ref="AM43" r:id="rId794"/>
    <hyperlink ref="AM371" r:id="rId795"/>
    <hyperlink ref="AM85" r:id="rId796"/>
    <hyperlink ref="AM286" r:id="rId797"/>
    <hyperlink ref="AM558" r:id="rId798"/>
    <hyperlink ref="AM446" r:id="rId799"/>
    <hyperlink ref="AM553" r:id="rId800"/>
    <hyperlink ref="AM362" r:id="rId801"/>
    <hyperlink ref="AM364" r:id="rId802"/>
    <hyperlink ref="AM361" r:id="rId803"/>
    <hyperlink ref="AM366" r:id="rId804"/>
    <hyperlink ref="AM480" r:id="rId805"/>
    <hyperlink ref="AM365" r:id="rId806"/>
    <hyperlink ref="AM593" r:id="rId807"/>
    <hyperlink ref="AM59" r:id="rId808"/>
    <hyperlink ref="AM594" r:id="rId809"/>
    <hyperlink ref="AM111" r:id="rId810"/>
    <hyperlink ref="AM229" r:id="rId811"/>
    <hyperlink ref="AM507" r:id="rId812"/>
    <hyperlink ref="AM82" r:id="rId813"/>
    <hyperlink ref="AM392" r:id="rId814"/>
    <hyperlink ref="AM568" r:id="rId815"/>
    <hyperlink ref="AM377" r:id="rId816"/>
    <hyperlink ref="AM376" r:id="rId817"/>
    <hyperlink ref="AM520" r:id="rId818"/>
    <hyperlink ref="AM639" r:id="rId819"/>
    <hyperlink ref="AM55" r:id="rId820"/>
    <hyperlink ref="AM508" r:id="rId821"/>
    <hyperlink ref="AM244" r:id="rId822"/>
    <hyperlink ref="AM190" r:id="rId823"/>
    <hyperlink ref="AM58" r:id="rId824"/>
    <hyperlink ref="AM514" r:id="rId825"/>
    <hyperlink ref="AM543" r:id="rId826"/>
    <hyperlink ref="AM531" r:id="rId827"/>
    <hyperlink ref="AM166" r:id="rId828"/>
    <hyperlink ref="AM525" r:id="rId829"/>
    <hyperlink ref="AM624" r:id="rId830"/>
    <hyperlink ref="AM560" r:id="rId831"/>
    <hyperlink ref="AM516" r:id="rId832"/>
    <hyperlink ref="AM74" r:id="rId833"/>
    <hyperlink ref="AM373" r:id="rId834"/>
    <hyperlink ref="AM37" r:id="rId835"/>
    <hyperlink ref="AM65" r:id="rId836"/>
    <hyperlink ref="AM292" r:id="rId837"/>
    <hyperlink ref="AM183" r:id="rId838"/>
    <hyperlink ref="AM328" r:id="rId839"/>
    <hyperlink ref="AM276" r:id="rId840"/>
    <hyperlink ref="AM135" r:id="rId841"/>
    <hyperlink ref="AM31" r:id="rId842"/>
    <hyperlink ref="AM385" r:id="rId843"/>
    <hyperlink ref="AM299" r:id="rId844"/>
    <hyperlink ref="AM283" r:id="rId845"/>
    <hyperlink ref="AM600" r:id="rId846"/>
    <hyperlink ref="AM156" r:id="rId847"/>
    <hyperlink ref="AM318" r:id="rId848"/>
    <hyperlink ref="AM545" r:id="rId849"/>
    <hyperlink ref="AM393" r:id="rId850"/>
    <hyperlink ref="AM460" r:id="rId851"/>
    <hyperlink ref="AM436" r:id="rId852"/>
    <hyperlink ref="AM441" r:id="rId853"/>
    <hyperlink ref="AM209" r:id="rId854"/>
    <hyperlink ref="AM405" r:id="rId855"/>
    <hyperlink ref="AM216" r:id="rId856"/>
    <hyperlink ref="AM267" r:id="rId857"/>
    <hyperlink ref="AM90" r:id="rId858"/>
    <hyperlink ref="AM442" r:id="rId859"/>
    <hyperlink ref="AM314" r:id="rId860"/>
    <hyperlink ref="AM638" r:id="rId861"/>
    <hyperlink ref="AM287" r:id="rId862"/>
    <hyperlink ref="AM184" r:id="rId863"/>
    <hyperlink ref="AM98" r:id="rId864"/>
    <hyperlink ref="AM173" r:id="rId865"/>
    <hyperlink ref="AM210" r:id="rId866"/>
    <hyperlink ref="AM215" r:id="rId867"/>
    <hyperlink ref="AM217" r:id="rId868"/>
    <hyperlink ref="AM218" r:id="rId869"/>
    <hyperlink ref="AM197" r:id="rId870"/>
    <hyperlink ref="AM404" r:id="rId871"/>
    <hyperlink ref="AM621" r:id="rId872"/>
    <hyperlink ref="AM557" r:id="rId873"/>
    <hyperlink ref="AM221" r:id="rId874"/>
    <hyperlink ref="AM219" r:id="rId875"/>
    <hyperlink ref="AM591" r:id="rId876"/>
    <hyperlink ref="AM548" r:id="rId877"/>
    <hyperlink ref="AM544" r:id="rId878"/>
    <hyperlink ref="AM626" r:id="rId879"/>
    <hyperlink ref="AM196" r:id="rId880"/>
    <hyperlink ref="AM429" r:id="rId881"/>
    <hyperlink ref="AM547" r:id="rId882"/>
    <hyperlink ref="AM551" r:id="rId883"/>
    <hyperlink ref="AM368" r:id="rId884"/>
    <hyperlink ref="AM363" r:id="rId885"/>
    <hyperlink ref="AM519" r:id="rId886"/>
    <hyperlink ref="AM207" r:id="rId887"/>
    <hyperlink ref="AM499" r:id="rId888"/>
    <hyperlink ref="AM517" r:id="rId889"/>
    <hyperlink ref="AM238" r:id="rId890"/>
    <hyperlink ref="AM200" r:id="rId891"/>
    <hyperlink ref="AM357" r:id="rId892"/>
    <hyperlink ref="AM308" r:id="rId893"/>
    <hyperlink ref="AM204" r:id="rId894"/>
    <hyperlink ref="AM150" r:id="rId895"/>
    <hyperlink ref="AM177" r:id="rId896"/>
    <hyperlink ref="AM459" r:id="rId897"/>
    <hyperlink ref="AM234" r:id="rId898"/>
    <hyperlink ref="AM233" r:id="rId899"/>
    <hyperlink ref="AM342" r:id="rId900"/>
    <hyperlink ref="AM445" r:id="rId901"/>
    <hyperlink ref="AM389" r:id="rId902"/>
    <hyperlink ref="AM289" r:id="rId903"/>
    <hyperlink ref="AM481" r:id="rId904"/>
    <hyperlink ref="AM189" r:id="rId905"/>
    <hyperlink ref="AM472" r:id="rId906"/>
    <hyperlink ref="AM353" r:id="rId907"/>
    <hyperlink ref="AM411" r:id="rId908"/>
    <hyperlink ref="AM291" r:id="rId909"/>
    <hyperlink ref="AM87" r:id="rId910"/>
    <hyperlink ref="AM523" r:id="rId911"/>
    <hyperlink ref="AM423" r:id="rId912"/>
    <hyperlink ref="AM129" r:id="rId913"/>
    <hyperlink ref="AM462" r:id="rId914"/>
    <hyperlink ref="AM550" r:id="rId915"/>
    <hyperlink ref="AM422" r:id="rId916"/>
    <hyperlink ref="AM439" r:id="rId917"/>
    <hyperlink ref="AM112" r:id="rId918"/>
    <hyperlink ref="AM302" r:id="rId919"/>
    <hyperlink ref="AM97" r:id="rId920"/>
    <hyperlink ref="AM590" r:id="rId921"/>
    <hyperlink ref="AM431" r:id="rId922"/>
    <hyperlink ref="AM526" r:id="rId923"/>
    <hyperlink ref="AM483" r:id="rId924"/>
    <hyperlink ref="AM374" r:id="rId925"/>
    <hyperlink ref="AM607" r:id="rId926"/>
    <hyperlink ref="AM195" r:id="rId927"/>
    <hyperlink ref="AM398" r:id="rId928"/>
    <hyperlink ref="AM492" r:id="rId929"/>
    <hyperlink ref="AM168" r:id="rId930"/>
    <hyperlink ref="AM170" r:id="rId931"/>
    <hyperlink ref="AM140" r:id="rId932"/>
    <hyperlink ref="AM386" r:id="rId933"/>
    <hyperlink ref="AM309" r:id="rId934"/>
    <hyperlink ref="AM172" r:id="rId935"/>
    <hyperlink ref="AM341" r:id="rId936"/>
    <hyperlink ref="AM45" r:id="rId937"/>
    <hyperlink ref="AM46" r:id="rId938"/>
    <hyperlink ref="AM51" r:id="rId939"/>
    <hyperlink ref="AM191" r:id="rId940"/>
    <hyperlink ref="AM185" r:id="rId941"/>
    <hyperlink ref="AM394" r:id="rId942"/>
    <hyperlink ref="AM408" r:id="rId943"/>
    <hyperlink ref="AM260" r:id="rId944"/>
    <hyperlink ref="AM261" r:id="rId945"/>
    <hyperlink ref="AM477" r:id="rId946"/>
    <hyperlink ref="AM133" r:id="rId947"/>
    <hyperlink ref="AM242" r:id="rId948"/>
    <hyperlink ref="AM616" r:id="rId949"/>
    <hyperlink ref="AM464" r:id="rId950"/>
    <hyperlink ref="AM535" r:id="rId951"/>
    <hyperlink ref="AM546" r:id="rId952"/>
    <hyperlink ref="AM614" r:id="rId953"/>
    <hyperlink ref="AM444" r:id="rId954"/>
    <hyperlink ref="AM541" r:id="rId955"/>
    <hyperlink ref="AM443" r:id="rId956"/>
    <hyperlink ref="AM208" r:id="rId957"/>
    <hyperlink ref="AM321" r:id="rId958"/>
    <hyperlink ref="AM612" r:id="rId959"/>
    <hyperlink ref="AM536" r:id="rId960"/>
    <hyperlink ref="AM475" r:id="rId961"/>
    <hyperlink ref="AM89" r:id="rId962"/>
    <hyperlink ref="AM212" r:id="rId963"/>
    <hyperlink ref="AM223" r:id="rId964"/>
    <hyperlink ref="AM224" r:id="rId965"/>
    <hyperlink ref="AM269" r:id="rId966"/>
    <hyperlink ref="AM278" r:id="rId967"/>
    <hyperlink ref="AM158" r:id="rId968"/>
    <hyperlink ref="AM175" r:id="rId969"/>
    <hyperlink ref="AM83" r:id="rId970"/>
    <hyperlink ref="AM273" r:id="rId971"/>
    <hyperlink ref="AM301" r:id="rId972"/>
    <hyperlink ref="AM300" r:id="rId973"/>
    <hyperlink ref="AM240" r:id="rId974"/>
    <hyperlink ref="AM265" r:id="rId975"/>
    <hyperlink ref="AM268" r:id="rId976"/>
    <hyperlink ref="AM272" r:id="rId977"/>
    <hyperlink ref="AM316" r:id="rId978"/>
    <hyperlink ref="AM635" r:id="rId979"/>
    <hyperlink ref="AM642" r:id="rId980"/>
    <hyperlink ref="AM114" r:id="rId981"/>
    <hyperlink ref="AM263" r:id="rId982"/>
    <hyperlink ref="AM77" r:id="rId983"/>
    <hyperlink ref="AM473" r:id="rId984"/>
    <hyperlink ref="AM351" r:id="rId985"/>
    <hyperlink ref="AM245" r:id="rId986"/>
    <hyperlink ref="AM57" r:id="rId987"/>
    <hyperlink ref="AM110" r:id="rId988"/>
    <hyperlink ref="AM192" r:id="rId989"/>
    <hyperlink ref="AM214" r:id="rId990"/>
    <hyperlink ref="AM649" r:id="rId991"/>
    <hyperlink ref="AM347" r:id="rId992"/>
    <hyperlink ref="AM367" r:id="rId993"/>
    <hyperlink ref="AM107" r:id="rId994"/>
    <hyperlink ref="AM636" r:id="rId995"/>
    <hyperlink ref="AM579" r:id="rId996"/>
    <hyperlink ref="AM155" r:id="rId997"/>
    <hyperlink ref="AM388" r:id="rId998"/>
    <hyperlink ref="AM231" r:id="rId999"/>
    <hyperlink ref="AM116" r:id="rId1000"/>
    <hyperlink ref="AM577" r:id="rId1001"/>
    <hyperlink ref="AM40" r:id="rId1002"/>
    <hyperlink ref="AM479" r:id="rId1003"/>
    <hyperlink ref="AM440" r:id="rId1004"/>
    <hyperlink ref="AM402" r:id="rId1005"/>
    <hyperlink ref="AM277" r:id="rId1006"/>
    <hyperlink ref="AM401" r:id="rId1007"/>
    <hyperlink ref="AM122" r:id="rId1008"/>
    <hyperlink ref="AM8" r:id="rId1009"/>
    <hyperlink ref="AM25" r:id="rId1010"/>
    <hyperlink ref="AM435" r:id="rId1011"/>
    <hyperlink ref="AM646" r:id="rId1012"/>
    <hyperlink ref="AM496" r:id="rId1013"/>
    <hyperlink ref="AM270" r:id="rId1014"/>
    <hyperlink ref="AM88" r:id="rId1015"/>
    <hyperlink ref="AM179" r:id="rId1016"/>
    <hyperlink ref="AM193" r:id="rId1017"/>
    <hyperlink ref="AM228" r:id="rId1018"/>
    <hyperlink ref="AM246" r:id="rId1019"/>
    <hyperlink ref="AM602" r:id="rId1020"/>
    <hyperlink ref="AM454" r:id="rId1021"/>
    <hyperlink ref="AM619" r:id="rId1022"/>
    <hyperlink ref="AM582" r:id="rId1023"/>
    <hyperlink ref="AM643" r:id="rId1024"/>
    <hyperlink ref="AM26" r:id="rId1025"/>
    <hyperlink ref="AM613" r:id="rId1026"/>
    <hyperlink ref="AM206" r:id="rId1027"/>
    <hyperlink ref="AM19" r:id="rId1028"/>
    <hyperlink ref="AM113" r:id="rId1029"/>
    <hyperlink ref="AM99" r:id="rId1030"/>
    <hyperlink ref="AM147" r:id="rId1031"/>
    <hyperlink ref="AM9" r:id="rId1032"/>
    <hyperlink ref="AM23" r:id="rId1033"/>
    <hyperlink ref="AM72" r:id="rId1034"/>
    <hyperlink ref="AM149" r:id="rId1035"/>
    <hyperlink ref="AM53" r:id="rId1036"/>
    <hyperlink ref="AM63" r:id="rId1037"/>
    <hyperlink ref="AM124" r:id="rId1038"/>
    <hyperlink ref="AM143" r:id="rId1039"/>
    <hyperlink ref="AM28" r:id="rId1040"/>
    <hyperlink ref="AM627" r:id="rId1041"/>
    <hyperlink ref="AM564" r:id="rId1042"/>
    <hyperlink ref="AM538" r:id="rId1043"/>
    <hyperlink ref="AM559" r:id="rId1044"/>
    <hyperlink ref="AM644" r:id="rId1045"/>
    <hyperlink ref="AM641" r:id="rId1046"/>
    <hyperlink ref="AM534" r:id="rId1047"/>
    <hyperlink ref="AM250" r:id="rId1048"/>
    <hyperlink ref="AM134" r:id="rId1049"/>
    <hyperlink ref="AM340" r:id="rId1050"/>
    <hyperlink ref="AM497" r:id="rId1051"/>
    <hyperlink ref="AM61" r:id="rId1052"/>
    <hyperlink ref="AM528" r:id="rId1053"/>
    <hyperlink ref="AM282" r:id="rId1054"/>
    <hyperlink ref="AM78" r:id="rId1055"/>
    <hyperlink ref="AM171" r:id="rId1056"/>
    <hyperlink ref="AM396" r:id="rId1057"/>
    <hyperlink ref="AM188" r:id="rId1058"/>
    <hyperlink ref="AM596" r:id="rId1059"/>
    <hyperlink ref="AM428" r:id="rId1060"/>
    <hyperlink ref="AM118" r:id="rId1061"/>
    <hyperlink ref="AM249" r:id="rId1062"/>
    <hyperlink ref="AM152" r:id="rId1063"/>
    <hyperlink ref="AM38" r:id="rId1064"/>
    <hyperlink ref="AM241" r:id="rId1065"/>
    <hyperlink ref="AM349" r:id="rId1066"/>
    <hyperlink ref="AM549" r:id="rId1067"/>
    <hyperlink ref="AM32" r:id="rId1068"/>
    <hyperlink ref="AM39" r:id="rId1069"/>
    <hyperlink ref="AM235" r:id="rId1070"/>
    <hyperlink ref="AM236" r:id="rId1071"/>
    <hyperlink ref="AM237" r:id="rId1072"/>
    <hyperlink ref="AM298" r:id="rId1073"/>
    <hyperlink ref="AM279" r:id="rId1074"/>
    <hyperlink ref="AM123" r:id="rId1075"/>
    <hyperlink ref="AM225" r:id="rId1076"/>
    <hyperlink ref="AM275" r:id="rId1077"/>
    <hyperlink ref="AM303" r:id="rId1078"/>
    <hyperlink ref="AM358" r:id="rId1079"/>
    <hyperlink ref="AM145" r:id="rId1080"/>
    <hyperlink ref="AM487" r:id="rId1081"/>
    <hyperlink ref="AM213" r:id="rId1082"/>
    <hyperlink ref="AM226" r:id="rId1083"/>
    <hyperlink ref="AM18" r:id="rId1084"/>
    <hyperlink ref="AM281" r:id="rId1085"/>
    <hyperlink ref="AM205" r:id="rId1086"/>
    <hyperlink ref="AM567" r:id="rId1087"/>
    <hyperlink ref="AM119" r:id="rId1088"/>
    <hyperlink ref="AM115" r:id="rId1089"/>
    <hyperlink ref="AM575" r:id="rId1090"/>
    <hyperlink ref="AM167" r:id="rId1091"/>
    <hyperlink ref="AM601" r:id="rId1092"/>
    <hyperlink ref="AM136" r:id="rId1093"/>
    <hyperlink ref="AM251" r:id="rId1094"/>
    <hyperlink ref="AM35" r:id="rId1095"/>
    <hyperlink ref="AM288" r:id="rId1096"/>
    <hyperlink ref="AM330" r:id="rId1097"/>
    <hyperlink ref="AM555" r:id="rId1098"/>
    <hyperlink ref="AM623" r:id="rId1099"/>
    <hyperlink ref="AM199" r:id="rId1100"/>
    <hyperlink ref="AM617" r:id="rId1101"/>
    <hyperlink ref="AM573" r:id="rId1102"/>
    <hyperlink ref="AM304" r:id="rId1103"/>
    <hyperlink ref="AM131" r:id="rId1104"/>
    <hyperlink ref="AM220" r:id="rId1105"/>
    <hyperlink ref="AM561" r:id="rId1106"/>
    <hyperlink ref="AM537" r:id="rId1107"/>
    <hyperlink ref="AM79" r:id="rId1108"/>
    <hyperlink ref="AM96" r:id="rId1109"/>
    <hyperlink ref="AM160" r:id="rId1110"/>
    <hyperlink ref="AM126" r:id="rId1111"/>
    <hyperlink ref="AM153" r:id="rId1112"/>
    <hyperlink ref="AM482" r:id="rId1113"/>
    <hyperlink ref="AM359" r:id="rId1114"/>
    <hyperlink ref="AM532" r:id="rId1115"/>
    <hyperlink ref="AM530" r:id="rId1116"/>
    <hyperlink ref="AM194" r:id="rId1117"/>
    <hyperlink ref="AM484" r:id="rId1118"/>
    <hyperlink ref="AM307" r:id="rId1119"/>
    <hyperlink ref="AM490" r:id="rId1120"/>
    <hyperlink ref="AM488" r:id="rId1121"/>
    <hyperlink ref="AM578" r:id="rId1122"/>
    <hyperlink ref="AM311" r:id="rId1123"/>
    <hyperlink ref="AM312" r:id="rId1124"/>
    <hyperlink ref="AM502" r:id="rId1125"/>
    <hyperlink ref="AM503" r:id="rId1126"/>
    <hyperlink ref="AM489" r:id="rId1127"/>
    <hyperlink ref="AM178" r:id="rId1128"/>
    <hyperlink ref="AM383" r:id="rId1129"/>
    <hyperlink ref="AM384" r:id="rId1130"/>
    <hyperlink ref="AM151" r:id="rId1131"/>
    <hyperlink ref="AM495" r:id="rId1132"/>
    <hyperlink ref="AM141" r:id="rId1133"/>
    <hyperlink ref="AM315" r:id="rId1134"/>
    <hyperlink ref="AM355" r:id="rId1135"/>
    <hyperlink ref="AM157" r:id="rId1136"/>
    <hyperlink ref="AM505" r:id="rId1137"/>
    <hyperlink ref="AM501" r:id="rId1138"/>
    <hyperlink ref="AM500" r:id="rId1139"/>
    <hyperlink ref="AM369" r:id="rId1140"/>
    <hyperlink ref="AM350" r:id="rId1141"/>
    <hyperlink ref="AM343" r:id="rId1142"/>
    <hyperlink ref="AM587" r:id="rId1143"/>
    <hyperlink ref="AM586" r:id="rId1144"/>
    <hyperlink ref="AM584" r:id="rId1145"/>
    <hyperlink ref="AM588" r:id="rId1146"/>
    <hyperlink ref="AM589" r:id="rId1147"/>
    <hyperlink ref="AM585" r:id="rId1148"/>
    <hyperlink ref="AM395" r:id="rId1149"/>
    <hyperlink ref="AM448" r:id="rId1150"/>
    <hyperlink ref="AM410" r:id="rId1151"/>
    <hyperlink ref="AM360" r:id="rId1152"/>
    <hyperlink ref="AM562" r:id="rId1153"/>
    <hyperlink ref="AM592" r:id="rId1154"/>
    <hyperlink ref="AM293" r:id="rId1155"/>
    <hyperlink ref="AM425" r:id="rId1156"/>
    <hyperlink ref="AM468" r:id="rId1157"/>
    <hyperlink ref="AM476" r:id="rId1158"/>
    <hyperlink ref="AM498" r:id="rId1159"/>
    <hyperlink ref="AM62" r:id="rId1160"/>
    <hyperlink ref="AM467" r:id="rId1161"/>
    <hyperlink ref="AM583" r:id="rId1162"/>
    <hyperlink ref="AM248" r:id="rId1163"/>
    <hyperlink ref="AM453" r:id="rId1164"/>
    <hyperlink ref="AM117" r:id="rId1165"/>
    <hyperlink ref="AM202" r:id="rId1166"/>
    <hyperlink ref="AM101" r:id="rId1167"/>
    <hyperlink ref="AM120" r:id="rId1168"/>
    <hyperlink ref="AM258" r:id="rId1169"/>
    <hyperlink ref="AM345" r:id="rId1170"/>
    <hyperlink ref="AM148" r:id="rId1171"/>
    <hyperlink ref="AM130" r:id="rId1172"/>
    <hyperlink ref="AM169" r:id="rId1173"/>
    <hyperlink ref="AM450" r:id="rId1174"/>
    <hyperlink ref="AM629" r:id="rId1175"/>
    <hyperlink ref="AM243" r:id="rId1176"/>
    <hyperlink ref="AM6" r:id="rId1177"/>
    <hyperlink ref="AM609" r:id="rId1178"/>
    <hyperlink ref="AM20" r:id="rId1179"/>
    <hyperlink ref="AM21" r:id="rId1180"/>
    <hyperlink ref="AM73" r:id="rId1181"/>
    <hyperlink ref="AM41" r:id="rId1182"/>
    <hyperlink ref="AM16" r:id="rId1183"/>
    <hyperlink ref="AM64" r:id="rId1184"/>
    <hyperlink ref="AM70" r:id="rId1185"/>
    <hyperlink ref="AM132" r:id="rId1186"/>
    <hyperlink ref="AM12" r:id="rId1187"/>
    <hyperlink ref="AM10" r:id="rId1188"/>
    <hyperlink ref="AM603" r:id="rId1189"/>
    <hyperlink ref="AM461" r:id="rId1190"/>
    <hyperlink ref="AM323" r:id="rId1191"/>
    <hyperlink ref="AM511" r:id="rId1192"/>
    <hyperlink ref="AM370" r:id="rId1193"/>
    <hyperlink ref="AM372" r:id="rId1194"/>
    <hyperlink ref="AM375" r:id="rId1195"/>
    <hyperlink ref="AM294" r:id="rId1196"/>
    <hyperlink ref="AM397" r:id="rId1197"/>
    <hyperlink ref="AM465" r:id="rId1198"/>
    <hyperlink ref="AM432" r:id="rId1199"/>
    <hyperlink ref="AM284" r:id="rId1200"/>
    <hyperlink ref="AM255" r:id="rId1201"/>
    <hyperlink ref="AM424" r:id="rId1202"/>
    <hyperlink ref="AM426" r:id="rId1203"/>
    <hyperlink ref="AM427" r:id="rId1204"/>
    <hyperlink ref="AM274" r:id="rId1205"/>
    <hyperlink ref="AM571" r:id="rId1206"/>
    <hyperlink ref="AM305" r:id="rId1207"/>
    <hyperlink ref="AM306" r:id="rId1208"/>
    <hyperlink ref="AM512" r:id="rId1209"/>
    <hyperlink ref="AM637" r:id="rId1210"/>
    <hyperlink ref="AM640" r:id="rId1211"/>
    <hyperlink ref="AM569" r:id="rId1212"/>
    <hyperlink ref="AM452" r:id="rId1213"/>
    <hyperlink ref="AM198" r:id="rId1214"/>
    <hyperlink ref="AM254" r:id="rId1215"/>
    <hyperlink ref="AM317" r:id="rId1216"/>
    <hyperlink ref="AM92" r:id="rId1217"/>
    <hyperlink ref="AM296" r:id="rId1218"/>
    <hyperlink ref="AM295" r:id="rId1219"/>
    <hyperlink ref="AM466" r:id="rId1220"/>
    <hyperlink ref="AM142" r:id="rId1221"/>
    <hyperlink ref="AM580" r:id="rId1222"/>
    <hyperlink ref="AM334" r:id="rId1223"/>
    <hyperlink ref="AM599" r:id="rId1224"/>
    <hyperlink ref="AM121" r:id="rId1225"/>
    <hyperlink ref="AM33" r:id="rId1226"/>
    <hyperlink ref="AM176" r:id="rId1227"/>
    <hyperlink ref="AM186" r:id="rId1228"/>
    <hyperlink ref="AM618" r:id="rId1229"/>
    <hyperlink ref="AM297" r:id="rId1230"/>
    <hyperlink ref="AM352" r:id="rId1231"/>
    <hyperlink ref="AM650" r:id="rId1232"/>
    <hyperlink ref="AM540" r:id="rId1233"/>
    <hyperlink ref="AM7" r:id="rId1234"/>
    <hyperlink ref="AM271" r:id="rId1235"/>
    <hyperlink ref="AM406" r:id="rId1236"/>
    <hyperlink ref="AM407" r:id="rId1237"/>
    <hyperlink ref="AM486" r:id="rId1238"/>
    <hyperlink ref="AM391" r:id="rId1239"/>
    <hyperlink ref="AM256" r:id="rId1240"/>
    <hyperlink ref="AM259" r:id="rId1241"/>
    <hyperlink ref="AM222" r:id="rId1242"/>
    <hyperlink ref="AM4" r:id="rId1243"/>
    <hyperlink ref="AM447" r:id="rId1244"/>
    <hyperlink ref="AM485" r:id="rId1245"/>
    <hyperlink ref="AM597" r:id="rId1246"/>
    <hyperlink ref="AM598" r:id="rId1247"/>
    <hyperlink ref="AM631" r:id="rId1248"/>
    <hyperlink ref="AM622" r:id="rId1249"/>
    <hyperlink ref="AM84" r:id="rId1250"/>
    <hyperlink ref="AM572" r:id="rId1251"/>
    <hyperlink ref="AM48" r:id="rId1252"/>
    <hyperlink ref="AM100" r:id="rId1253"/>
    <hyperlink ref="AM102" r:id="rId1254"/>
    <hyperlink ref="AM103" r:id="rId1255"/>
    <hyperlink ref="AM104" r:id="rId1256"/>
    <hyperlink ref="AM327" r:id="rId1257"/>
    <hyperlink ref="AM36" r:id="rId1258"/>
    <hyperlink ref="AM75" r:id="rId1259"/>
    <hyperlink ref="AM76" r:id="rId1260"/>
    <hyperlink ref="AM94" r:id="rId1261"/>
    <hyperlink ref="AM161" r:id="rId1262"/>
    <hyperlink ref="AM253" r:id="rId1263"/>
    <hyperlink ref="AM331" r:id="rId1264"/>
    <hyperlink ref="AM438" r:id="rId1265"/>
    <hyperlink ref="AM458" r:id="rId1266"/>
    <hyperlink ref="AM128" r:id="rId1267"/>
    <hyperlink ref="AM605" r:id="rId1268"/>
    <hyperlink ref="AM604" r:id="rId1269"/>
    <hyperlink ref="AM606" r:id="rId1270"/>
    <hyperlink ref="AM280" r:id="rId1271"/>
    <hyperlink ref="AM651" r:id="rId1272"/>
    <hyperlink ref="AM290" r:id="rId1273"/>
    <hyperlink ref="AM418" r:id="rId1274"/>
    <hyperlink ref="AM451" r:id="rId1275"/>
    <hyperlink ref="AM320" r:id="rId1276"/>
    <hyperlink ref="AM5" r:id="rId1277"/>
    <hyperlink ref="AM22" r:id="rId1278"/>
    <hyperlink ref="AM29" r:id="rId1279"/>
    <hyperlink ref="AM30" r:id="rId1280"/>
    <hyperlink ref="AM56" r:id="rId1281"/>
    <hyperlink ref="AM68" r:id="rId1282"/>
    <hyperlink ref="AM127" r:id="rId1283"/>
    <hyperlink ref="AM187" r:id="rId1284"/>
    <hyperlink ref="AM262" r:id="rId1285"/>
    <hyperlink ref="AM319" r:id="rId1286"/>
    <hyperlink ref="AM339" r:id="rId1287"/>
    <hyperlink ref="AM378" r:id="rId1288"/>
    <hyperlink ref="AM390" r:id="rId1289"/>
    <hyperlink ref="AM399" r:id="rId1290"/>
    <hyperlink ref="AM409" r:id="rId1291"/>
    <hyperlink ref="AM471" r:id="rId1292"/>
    <hyperlink ref="AM510" r:id="rId1293"/>
    <hyperlink ref="AM611" r:id="rId1294"/>
    <hyperlink ref="AM625" r:id="rId1295"/>
    <hyperlink ref="AM633" r:id="rId1296"/>
    <hyperlink ref="AM137" r:id="rId1297"/>
    <hyperlink ref="AM381" r:id="rId1298"/>
    <hyperlink ref="F222" r:id="rId1299"/>
    <hyperlink ref="F295" r:id="rId1300"/>
    <hyperlink ref="F349" r:id="rId1301"/>
    <hyperlink ref="F355" r:id="rId1302"/>
    <hyperlink ref="F358" r:id="rId1303"/>
    <hyperlink ref="F617" r:id="rId1304"/>
    <hyperlink ref="F620" r:id="rId1305"/>
    <hyperlink ref="F80" r:id="rId1306"/>
    <hyperlink ref="F280" r:id="rId1307"/>
    <hyperlink ref="F125" r:id="rId1308"/>
    <hyperlink ref="F532" r:id="rId1309"/>
    <hyperlink ref="F367" r:id="rId1310"/>
    <hyperlink ref="F438" r:id="rId1311"/>
    <hyperlink ref="F286" r:id="rId1312"/>
    <hyperlink ref="F609" r:id="rId1313"/>
    <hyperlink ref="F100" r:id="rId1314"/>
  </hyperlinks>
  <pageMargins left="0.75" right="0.75" top="1" bottom="1" header="0.5" footer="0.5"/>
  <pageSetup paperSize="9" orientation="portrait" horizontalDpi="4294967292" verticalDpi="4294967292" r:id="rId131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Twiplomacy Stats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Lüfkens, Matthias</dc:creator>
  <cp:lastModifiedBy>Lüfkens, Matthias</cp:lastModifiedBy>
  <dcterms:created xsi:type="dcterms:W3CDTF">2016-01-25T16:22:23Z</dcterms:created>
  <dcterms:modified xsi:type="dcterms:W3CDTF">2018-04-29T09:21:59Z</dcterms:modified>
</cp:coreProperties>
</file>